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showInkAnnotation="0" autoCompressPictures="0"/>
  <bookViews>
    <workbookView xWindow="-15" yWindow="-420" windowWidth="15480" windowHeight="11640" tabRatio="500" activeTab="3"/>
  </bookViews>
  <sheets>
    <sheet name="Public Accounts " sheetId="5" r:id="rId1"/>
    <sheet name="Yields" sheetId="2" r:id="rId2"/>
    <sheet name="Fund Returns '81-'10" sheetId="3" r:id="rId3"/>
    <sheet name="PA - check" sheetId="6" r:id="rId4"/>
    <sheet name="PA - tester" sheetId="1" r:id="rId5"/>
    <sheet name="Sheet7" sheetId="7" r:id="rId6"/>
  </sheets>
  <calcPr calcId="114210" concurrentCalc="0"/>
</workbook>
</file>

<file path=xl/calcChain.xml><?xml version="1.0" encoding="utf-8"?>
<calcChain xmlns="http://schemas.openxmlformats.org/spreadsheetml/2006/main">
  <c r="G8" i="3"/>
  <c r="G9"/>
  <c r="F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C69" i="6"/>
  <c r="C96"/>
  <c r="C95"/>
  <c r="C94"/>
  <c r="C93"/>
  <c r="C92"/>
  <c r="C91"/>
  <c r="C88"/>
  <c r="C87"/>
  <c r="C86"/>
  <c r="C85"/>
  <c r="C89"/>
  <c r="B36"/>
  <c r="B42"/>
  <c r="B43"/>
  <c r="B24"/>
  <c r="B44"/>
  <c r="B81"/>
  <c r="B96"/>
  <c r="C84"/>
  <c r="B51"/>
  <c r="B69"/>
  <c r="C55"/>
  <c r="B50"/>
  <c r="C52"/>
  <c r="C56"/>
  <c r="C58"/>
  <c r="C59"/>
  <c r="C61"/>
  <c r="C62"/>
  <c r="C64"/>
  <c r="C65"/>
  <c r="C36"/>
  <c r="C42"/>
  <c r="C43"/>
  <c r="C24"/>
  <c r="C44"/>
  <c r="C51"/>
  <c r="C68"/>
  <c r="C67"/>
  <c r="C81"/>
  <c r="E84"/>
  <c r="E85"/>
  <c r="E86"/>
  <c r="E87"/>
  <c r="E88"/>
  <c r="E36"/>
  <c r="E42"/>
  <c r="E43"/>
  <c r="E17"/>
  <c r="E24"/>
  <c r="E44"/>
  <c r="E81"/>
  <c r="E96"/>
  <c r="F84"/>
  <c r="F85"/>
  <c r="F86"/>
  <c r="F87"/>
  <c r="F88"/>
  <c r="F36"/>
  <c r="F42"/>
  <c r="F43"/>
  <c r="F24"/>
  <c r="F44"/>
  <c r="F81"/>
  <c r="F96"/>
  <c r="G84"/>
  <c r="G85"/>
  <c r="G86"/>
  <c r="G87"/>
  <c r="G88"/>
  <c r="G36"/>
  <c r="G42"/>
  <c r="G43"/>
  <c r="G24"/>
  <c r="G44"/>
  <c r="G81"/>
  <c r="G96"/>
  <c r="H84"/>
  <c r="H85"/>
  <c r="H86"/>
  <c r="H87"/>
  <c r="H88"/>
  <c r="H36"/>
  <c r="H42"/>
  <c r="H43"/>
  <c r="H24"/>
  <c r="H44"/>
  <c r="H81"/>
  <c r="H96"/>
  <c r="I84"/>
  <c r="I85"/>
  <c r="I86"/>
  <c r="I87"/>
  <c r="I88"/>
  <c r="I36"/>
  <c r="I42"/>
  <c r="I43"/>
  <c r="I24"/>
  <c r="I44"/>
  <c r="I81"/>
  <c r="I96"/>
  <c r="J84"/>
  <c r="J85"/>
  <c r="J86"/>
  <c r="J87"/>
  <c r="J88"/>
  <c r="J36"/>
  <c r="J42"/>
  <c r="J43"/>
  <c r="J24"/>
  <c r="J44"/>
  <c r="J81"/>
  <c r="J96"/>
  <c r="K84"/>
  <c r="K85"/>
  <c r="K86"/>
  <c r="K87"/>
  <c r="K88"/>
  <c r="K36"/>
  <c r="K42"/>
  <c r="K43"/>
  <c r="K24"/>
  <c r="K44"/>
  <c r="K81"/>
  <c r="K96"/>
  <c r="L84"/>
  <c r="L85"/>
  <c r="L86"/>
  <c r="L87"/>
  <c r="L88"/>
  <c r="L36"/>
  <c r="L42"/>
  <c r="L43"/>
  <c r="L24"/>
  <c r="L44"/>
  <c r="L81"/>
  <c r="L96"/>
  <c r="M84"/>
  <c r="M85"/>
  <c r="M86"/>
  <c r="M87"/>
  <c r="M88"/>
  <c r="M36"/>
  <c r="M42"/>
  <c r="M43"/>
  <c r="M24"/>
  <c r="M44"/>
  <c r="M81"/>
  <c r="M96"/>
  <c r="N84"/>
  <c r="N85"/>
  <c r="N86"/>
  <c r="N87"/>
  <c r="N88"/>
  <c r="N36"/>
  <c r="N42"/>
  <c r="N43"/>
  <c r="N24"/>
  <c r="N44"/>
  <c r="N81"/>
  <c r="N96"/>
  <c r="O84"/>
  <c r="O85"/>
  <c r="O86"/>
  <c r="O87"/>
  <c r="O88"/>
  <c r="O36"/>
  <c r="O42"/>
  <c r="O43"/>
  <c r="O24"/>
  <c r="O44"/>
  <c r="O81"/>
  <c r="O96"/>
  <c r="P84"/>
  <c r="P85"/>
  <c r="P86"/>
  <c r="P87"/>
  <c r="P88"/>
  <c r="P96"/>
  <c r="Q84"/>
  <c r="Q85"/>
  <c r="Q86"/>
  <c r="Q87"/>
  <c r="Q88"/>
  <c r="Q36"/>
  <c r="Q42"/>
  <c r="Q43"/>
  <c r="Q24"/>
  <c r="Q44"/>
  <c r="Q81"/>
  <c r="Q96"/>
  <c r="P36"/>
  <c r="P42"/>
  <c r="P43"/>
  <c r="P24"/>
  <c r="P44"/>
  <c r="P81"/>
  <c r="C50"/>
  <c r="E52"/>
  <c r="E55"/>
  <c r="E57"/>
  <c r="E60"/>
  <c r="E63"/>
  <c r="E66"/>
  <c r="E51"/>
  <c r="E69"/>
  <c r="E50"/>
  <c r="F52"/>
  <c r="F55"/>
  <c r="F57"/>
  <c r="F60"/>
  <c r="F63"/>
  <c r="F66"/>
  <c r="F51"/>
  <c r="F69"/>
  <c r="F50"/>
  <c r="G52"/>
  <c r="G55"/>
  <c r="G57"/>
  <c r="G60"/>
  <c r="G63"/>
  <c r="G66"/>
  <c r="G51"/>
  <c r="G69"/>
  <c r="G50"/>
  <c r="H52"/>
  <c r="H55"/>
  <c r="H57"/>
  <c r="H60"/>
  <c r="H63"/>
  <c r="H66"/>
  <c r="H51"/>
  <c r="H69"/>
  <c r="H50"/>
  <c r="I52"/>
  <c r="I55"/>
  <c r="I57"/>
  <c r="I60"/>
  <c r="I63"/>
  <c r="I66"/>
  <c r="I51"/>
  <c r="I69"/>
  <c r="I50"/>
  <c r="J52"/>
  <c r="J55"/>
  <c r="J57"/>
  <c r="J60"/>
  <c r="J63"/>
  <c r="J66"/>
  <c r="J51"/>
  <c r="J69"/>
  <c r="J50"/>
  <c r="K52"/>
  <c r="K55"/>
  <c r="K57"/>
  <c r="K60"/>
  <c r="K63"/>
  <c r="K66"/>
  <c r="K51"/>
  <c r="K69"/>
  <c r="K50"/>
  <c r="L52"/>
  <c r="L55"/>
  <c r="L57"/>
  <c r="L60"/>
  <c r="L63"/>
  <c r="L66"/>
  <c r="L51"/>
  <c r="L69"/>
  <c r="L50"/>
  <c r="M52"/>
  <c r="M55"/>
  <c r="M57"/>
  <c r="M60"/>
  <c r="M63"/>
  <c r="M66"/>
  <c r="M51"/>
  <c r="M69"/>
  <c r="M50"/>
  <c r="N52"/>
  <c r="N55"/>
  <c r="N57"/>
  <c r="N60"/>
  <c r="N63"/>
  <c r="N66"/>
  <c r="N51"/>
  <c r="N69"/>
  <c r="N50"/>
  <c r="O52"/>
  <c r="O55"/>
  <c r="O57"/>
  <c r="O60"/>
  <c r="O63"/>
  <c r="O66"/>
  <c r="O51"/>
  <c r="O69"/>
  <c r="O50"/>
  <c r="P52"/>
  <c r="P55"/>
  <c r="P57"/>
  <c r="P60"/>
  <c r="P63"/>
  <c r="P66"/>
  <c r="P69"/>
  <c r="P50"/>
  <c r="Q52"/>
  <c r="Q55"/>
  <c r="Q57"/>
  <c r="Q60"/>
  <c r="Q63"/>
  <c r="Q66"/>
  <c r="Q51"/>
  <c r="Q69"/>
  <c r="P51"/>
  <c r="Q50"/>
  <c r="Q37"/>
  <c r="P37"/>
  <c r="O37"/>
  <c r="N37"/>
  <c r="M37"/>
  <c r="L37"/>
  <c r="K37"/>
  <c r="J37"/>
  <c r="I37"/>
  <c r="H37"/>
  <c r="G37"/>
  <c r="F37"/>
  <c r="E37"/>
  <c r="C37"/>
  <c r="B37"/>
  <c r="C73" i="1"/>
  <c r="O59"/>
  <c r="C78"/>
  <c r="D73"/>
  <c r="D74"/>
  <c r="D75"/>
  <c r="D76"/>
  <c r="D77"/>
  <c r="D78"/>
  <c r="E73"/>
  <c r="E74"/>
  <c r="E75"/>
  <c r="E76"/>
  <c r="E77"/>
  <c r="E78"/>
  <c r="F73"/>
  <c r="F74"/>
  <c r="F75"/>
  <c r="F76"/>
  <c r="F77"/>
  <c r="F78"/>
  <c r="G73"/>
  <c r="G74"/>
  <c r="G75"/>
  <c r="G76"/>
  <c r="G77"/>
  <c r="G78"/>
  <c r="H73"/>
  <c r="H74"/>
  <c r="H75"/>
  <c r="H76"/>
  <c r="H77"/>
  <c r="H78"/>
  <c r="I73"/>
  <c r="I74"/>
  <c r="I75"/>
  <c r="I76"/>
  <c r="I77"/>
  <c r="I78"/>
  <c r="J73"/>
  <c r="J74"/>
  <c r="J75"/>
  <c r="J76"/>
  <c r="J77"/>
  <c r="J78"/>
  <c r="K73"/>
  <c r="K74"/>
  <c r="K75"/>
  <c r="K76"/>
  <c r="K77"/>
  <c r="K78"/>
  <c r="L73"/>
  <c r="L74"/>
  <c r="L75"/>
  <c r="L76"/>
  <c r="L77"/>
  <c r="L78"/>
  <c r="M73"/>
  <c r="M74"/>
  <c r="M75"/>
  <c r="M76"/>
  <c r="M77"/>
  <c r="M78"/>
  <c r="N73"/>
  <c r="N74"/>
  <c r="N75"/>
  <c r="N76"/>
  <c r="N77"/>
  <c r="N78"/>
  <c r="O73"/>
  <c r="O74"/>
  <c r="O75"/>
  <c r="O76"/>
  <c r="O77"/>
  <c r="O78"/>
  <c r="P73"/>
  <c r="P74"/>
  <c r="P75"/>
  <c r="P76"/>
  <c r="P77"/>
  <c r="P78"/>
  <c r="C77"/>
  <c r="C76"/>
  <c r="C75"/>
  <c r="C74"/>
  <c r="B78"/>
  <c r="B36"/>
  <c r="B42"/>
  <c r="B43"/>
  <c r="B24"/>
  <c r="B44"/>
  <c r="B71"/>
  <c r="B51"/>
  <c r="B59"/>
  <c r="B50"/>
  <c r="C52"/>
  <c r="C55"/>
  <c r="C54"/>
  <c r="C56"/>
  <c r="C57"/>
  <c r="C58"/>
  <c r="C36"/>
  <c r="C42"/>
  <c r="C43"/>
  <c r="C24"/>
  <c r="C44"/>
  <c r="C51"/>
  <c r="C59"/>
  <c r="C50"/>
  <c r="D52"/>
  <c r="D54"/>
  <c r="D55"/>
  <c r="D56"/>
  <c r="D57"/>
  <c r="D58"/>
  <c r="D36"/>
  <c r="D42"/>
  <c r="D43"/>
  <c r="D17"/>
  <c r="D24"/>
  <c r="D44"/>
  <c r="D51"/>
  <c r="D59"/>
  <c r="D50"/>
  <c r="E52"/>
  <c r="E54"/>
  <c r="E55"/>
  <c r="E56"/>
  <c r="E57"/>
  <c r="E58"/>
  <c r="E36"/>
  <c r="E42"/>
  <c r="E43"/>
  <c r="E24"/>
  <c r="E44"/>
  <c r="E51"/>
  <c r="E59"/>
  <c r="E50"/>
  <c r="F52"/>
  <c r="F54"/>
  <c r="F55"/>
  <c r="F56"/>
  <c r="F57"/>
  <c r="F58"/>
  <c r="F36"/>
  <c r="F42"/>
  <c r="F43"/>
  <c r="F24"/>
  <c r="F44"/>
  <c r="F51"/>
  <c r="F59"/>
  <c r="F50"/>
  <c r="G52"/>
  <c r="G54"/>
  <c r="G55"/>
  <c r="G56"/>
  <c r="G57"/>
  <c r="G58"/>
  <c r="G36"/>
  <c r="G42"/>
  <c r="G43"/>
  <c r="G24"/>
  <c r="G44"/>
  <c r="G51"/>
  <c r="G59"/>
  <c r="G50"/>
  <c r="H52"/>
  <c r="H54"/>
  <c r="H55"/>
  <c r="H56"/>
  <c r="H57"/>
  <c r="H58"/>
  <c r="H36"/>
  <c r="H42"/>
  <c r="H43"/>
  <c r="H24"/>
  <c r="H44"/>
  <c r="H51"/>
  <c r="H59"/>
  <c r="H50"/>
  <c r="I52"/>
  <c r="I54"/>
  <c r="I55"/>
  <c r="I56"/>
  <c r="I57"/>
  <c r="I58"/>
  <c r="I36"/>
  <c r="I42"/>
  <c r="I43"/>
  <c r="I24"/>
  <c r="I44"/>
  <c r="I51"/>
  <c r="I59"/>
  <c r="I50"/>
  <c r="J52"/>
  <c r="J54"/>
  <c r="J55"/>
  <c r="J56"/>
  <c r="J57"/>
  <c r="J58"/>
  <c r="J36"/>
  <c r="J42"/>
  <c r="J43"/>
  <c r="J24"/>
  <c r="J44"/>
  <c r="J51"/>
  <c r="J59"/>
  <c r="J50"/>
  <c r="K52"/>
  <c r="K54"/>
  <c r="K55"/>
  <c r="K56"/>
  <c r="K57"/>
  <c r="K58"/>
  <c r="K36"/>
  <c r="K42"/>
  <c r="K43"/>
  <c r="K24"/>
  <c r="K44"/>
  <c r="K51"/>
  <c r="K59"/>
  <c r="K50"/>
  <c r="L52"/>
  <c r="L54"/>
  <c r="L55"/>
  <c r="L56"/>
  <c r="L57"/>
  <c r="L58"/>
  <c r="L36"/>
  <c r="L42"/>
  <c r="L43"/>
  <c r="L24"/>
  <c r="L44"/>
  <c r="L51"/>
  <c r="L59"/>
  <c r="L50"/>
  <c r="M52"/>
  <c r="M54"/>
  <c r="M55"/>
  <c r="M56"/>
  <c r="M57"/>
  <c r="M58"/>
  <c r="M36"/>
  <c r="M42"/>
  <c r="M43"/>
  <c r="M24"/>
  <c r="M44"/>
  <c r="M51"/>
  <c r="M59"/>
  <c r="M50"/>
  <c r="N52"/>
  <c r="N54"/>
  <c r="N55"/>
  <c r="N56"/>
  <c r="N57"/>
  <c r="N58"/>
  <c r="N36"/>
  <c r="N42"/>
  <c r="N43"/>
  <c r="N24"/>
  <c r="N44"/>
  <c r="N51"/>
  <c r="N59"/>
  <c r="N50"/>
  <c r="O52"/>
  <c r="O54"/>
  <c r="O55"/>
  <c r="O56"/>
  <c r="O57"/>
  <c r="O58"/>
  <c r="O36"/>
  <c r="O42"/>
  <c r="O43"/>
  <c r="O24"/>
  <c r="O44"/>
  <c r="O51"/>
  <c r="O50"/>
  <c r="P52"/>
  <c r="P54"/>
  <c r="P55"/>
  <c r="P56"/>
  <c r="P57"/>
  <c r="P58"/>
  <c r="P36"/>
  <c r="P42"/>
  <c r="P43"/>
  <c r="P24"/>
  <c r="P44"/>
  <c r="P51"/>
  <c r="P59"/>
  <c r="P71"/>
  <c r="O71"/>
  <c r="N71"/>
  <c r="M71"/>
  <c r="L71"/>
  <c r="K71"/>
  <c r="J71"/>
  <c r="I71"/>
  <c r="H71"/>
  <c r="G71"/>
  <c r="F71"/>
  <c r="E71"/>
  <c r="D71"/>
  <c r="C71"/>
  <c r="P50"/>
  <c r="P37"/>
  <c r="O37"/>
  <c r="N37"/>
  <c r="M37"/>
  <c r="L37"/>
  <c r="K37"/>
  <c r="J37"/>
  <c r="I37"/>
  <c r="H37"/>
  <c r="G37"/>
  <c r="F37"/>
  <c r="E37"/>
  <c r="D37"/>
  <c r="C37"/>
  <c r="B37"/>
  <c r="C54" i="5"/>
  <c r="D73"/>
  <c r="D74"/>
  <c r="D75"/>
  <c r="D76"/>
  <c r="D77"/>
  <c r="D78"/>
  <c r="E73"/>
  <c r="E74"/>
  <c r="E75"/>
  <c r="E76"/>
  <c r="E77"/>
  <c r="E78"/>
  <c r="F73"/>
  <c r="F74"/>
  <c r="F75"/>
  <c r="F76"/>
  <c r="F77"/>
  <c r="F78"/>
  <c r="G73"/>
  <c r="G74"/>
  <c r="G75"/>
  <c r="G76"/>
  <c r="G77"/>
  <c r="G78"/>
  <c r="H73"/>
  <c r="H74"/>
  <c r="H75"/>
  <c r="H76"/>
  <c r="H77"/>
  <c r="H78"/>
  <c r="I73"/>
  <c r="I74"/>
  <c r="I75"/>
  <c r="I76"/>
  <c r="I77"/>
  <c r="I78"/>
  <c r="J73"/>
  <c r="J74"/>
  <c r="J75"/>
  <c r="J76"/>
  <c r="J77"/>
  <c r="J78"/>
  <c r="K73"/>
  <c r="K74"/>
  <c r="K75"/>
  <c r="K76"/>
  <c r="K77"/>
  <c r="K78"/>
  <c r="L73"/>
  <c r="L74"/>
  <c r="L75"/>
  <c r="L76"/>
  <c r="L77"/>
  <c r="L78"/>
  <c r="M73"/>
  <c r="M74"/>
  <c r="M75"/>
  <c r="M76"/>
  <c r="M77"/>
  <c r="M78"/>
  <c r="N73"/>
  <c r="N74"/>
  <c r="N75"/>
  <c r="N76"/>
  <c r="N77"/>
  <c r="N78"/>
  <c r="O73"/>
  <c r="O74"/>
  <c r="O75"/>
  <c r="O76"/>
  <c r="O77"/>
  <c r="O78"/>
  <c r="P77"/>
  <c r="P76"/>
  <c r="P75"/>
  <c r="P74"/>
  <c r="P73"/>
  <c r="C77"/>
  <c r="C76"/>
  <c r="C75"/>
  <c r="C74"/>
  <c r="C73"/>
  <c r="C59"/>
  <c r="D54"/>
  <c r="D55"/>
  <c r="D56"/>
  <c r="D57"/>
  <c r="D58"/>
  <c r="D59"/>
  <c r="E54"/>
  <c r="E55"/>
  <c r="E56"/>
  <c r="E57"/>
  <c r="E58"/>
  <c r="E59"/>
  <c r="F54"/>
  <c r="F55"/>
  <c r="F56"/>
  <c r="F57"/>
  <c r="F58"/>
  <c r="F59"/>
  <c r="G54"/>
  <c r="G55"/>
  <c r="G56"/>
  <c r="G57"/>
  <c r="G58"/>
  <c r="G59"/>
  <c r="H54"/>
  <c r="H55"/>
  <c r="H56"/>
  <c r="H57"/>
  <c r="H58"/>
  <c r="H59"/>
  <c r="I54"/>
  <c r="I55"/>
  <c r="I56"/>
  <c r="I57"/>
  <c r="I58"/>
  <c r="I59"/>
  <c r="J54"/>
  <c r="J55"/>
  <c r="J56"/>
  <c r="J57"/>
  <c r="J58"/>
  <c r="J59"/>
  <c r="K54"/>
  <c r="K55"/>
  <c r="K56"/>
  <c r="K57"/>
  <c r="K58"/>
  <c r="K59"/>
  <c r="L54"/>
  <c r="L55"/>
  <c r="L56"/>
  <c r="L57"/>
  <c r="L58"/>
  <c r="L59"/>
  <c r="M54"/>
  <c r="M55"/>
  <c r="M56"/>
  <c r="M57"/>
  <c r="M58"/>
  <c r="M59"/>
  <c r="N54"/>
  <c r="N55"/>
  <c r="N56"/>
  <c r="N57"/>
  <c r="N58"/>
  <c r="N59"/>
  <c r="O54"/>
  <c r="O55"/>
  <c r="O56"/>
  <c r="O57"/>
  <c r="O58"/>
  <c r="O59"/>
  <c r="P58"/>
  <c r="P57"/>
  <c r="P56"/>
  <c r="P55"/>
  <c r="P54"/>
  <c r="C58"/>
  <c r="C57"/>
  <c r="C56"/>
  <c r="C55"/>
  <c r="B36"/>
  <c r="B42"/>
  <c r="B43"/>
  <c r="B24"/>
  <c r="B44"/>
  <c r="B71"/>
  <c r="B78"/>
  <c r="C36"/>
  <c r="C42"/>
  <c r="C43"/>
  <c r="C24"/>
  <c r="C44"/>
  <c r="C71"/>
  <c r="C78"/>
  <c r="D36"/>
  <c r="D42"/>
  <c r="D43"/>
  <c r="D17"/>
  <c r="D24"/>
  <c r="D44"/>
  <c r="D71"/>
  <c r="E36"/>
  <c r="E42"/>
  <c r="E43"/>
  <c r="E24"/>
  <c r="E44"/>
  <c r="E71"/>
  <c r="F36"/>
  <c r="F42"/>
  <c r="F43"/>
  <c r="F24"/>
  <c r="F44"/>
  <c r="F71"/>
  <c r="G36"/>
  <c r="G42"/>
  <c r="G43"/>
  <c r="G24"/>
  <c r="G44"/>
  <c r="G71"/>
  <c r="H36"/>
  <c r="H42"/>
  <c r="H43"/>
  <c r="H24"/>
  <c r="H44"/>
  <c r="H71"/>
  <c r="I36"/>
  <c r="I42"/>
  <c r="I43"/>
  <c r="I24"/>
  <c r="I44"/>
  <c r="I71"/>
  <c r="J36"/>
  <c r="J42"/>
  <c r="J43"/>
  <c r="J24"/>
  <c r="J44"/>
  <c r="J71"/>
  <c r="K36"/>
  <c r="K42"/>
  <c r="K43"/>
  <c r="K24"/>
  <c r="K44"/>
  <c r="K71"/>
  <c r="L36"/>
  <c r="L42"/>
  <c r="L43"/>
  <c r="L24"/>
  <c r="L44"/>
  <c r="L71"/>
  <c r="M36"/>
  <c r="M42"/>
  <c r="M43"/>
  <c r="M24"/>
  <c r="M44"/>
  <c r="M71"/>
  <c r="N36"/>
  <c r="N42"/>
  <c r="N43"/>
  <c r="N24"/>
  <c r="N44"/>
  <c r="N71"/>
  <c r="P36"/>
  <c r="P42"/>
  <c r="P43"/>
  <c r="P24"/>
  <c r="P44"/>
  <c r="P71"/>
  <c r="P78"/>
  <c r="O36"/>
  <c r="O42"/>
  <c r="O43"/>
  <c r="O24"/>
  <c r="O44"/>
  <c r="O71"/>
  <c r="B51"/>
  <c r="B59"/>
  <c r="B50"/>
  <c r="C52"/>
  <c r="C51"/>
  <c r="C50"/>
  <c r="D52"/>
  <c r="D51"/>
  <c r="D50"/>
  <c r="E52"/>
  <c r="E51"/>
  <c r="E50"/>
  <c r="F52"/>
  <c r="F51"/>
  <c r="F50"/>
  <c r="G52"/>
  <c r="G51"/>
  <c r="G50"/>
  <c r="H52"/>
  <c r="H51"/>
  <c r="H50"/>
  <c r="I52"/>
  <c r="I51"/>
  <c r="I50"/>
  <c r="J52"/>
  <c r="J51"/>
  <c r="J50"/>
  <c r="K52"/>
  <c r="K51"/>
  <c r="K50"/>
  <c r="L52"/>
  <c r="L51"/>
  <c r="L50"/>
  <c r="M52"/>
  <c r="M51"/>
  <c r="M50"/>
  <c r="N52"/>
  <c r="N51"/>
  <c r="N50"/>
  <c r="O52"/>
  <c r="O50"/>
  <c r="P52"/>
  <c r="P51"/>
  <c r="P59"/>
  <c r="O51"/>
  <c r="P50"/>
  <c r="P37"/>
  <c r="O37"/>
  <c r="N37"/>
  <c r="M37"/>
  <c r="L37"/>
  <c r="K37"/>
  <c r="J37"/>
  <c r="I37"/>
  <c r="H37"/>
  <c r="G37"/>
  <c r="F37"/>
  <c r="E37"/>
  <c r="D37"/>
  <c r="C37"/>
  <c r="B37"/>
  <c r="F19" i="2"/>
  <c r="E19"/>
  <c r="D19"/>
  <c r="C19"/>
  <c r="B19"/>
  <c r="F18"/>
  <c r="E18"/>
  <c r="D18"/>
  <c r="C18"/>
  <c r="B18"/>
  <c r="F17"/>
  <c r="E17"/>
  <c r="D17"/>
  <c r="C17"/>
  <c r="B17"/>
  <c r="F16"/>
  <c r="E16"/>
  <c r="D16"/>
  <c r="C16"/>
  <c r="B16"/>
  <c r="F15"/>
  <c r="E15"/>
  <c r="D15"/>
  <c r="C15"/>
  <c r="B15"/>
  <c r="F14"/>
  <c r="E14"/>
  <c r="D14"/>
  <c r="C14"/>
  <c r="B14"/>
  <c r="F13"/>
  <c r="E13"/>
  <c r="D13"/>
  <c r="C13"/>
  <c r="B13"/>
  <c r="F12"/>
  <c r="E12"/>
  <c r="D12"/>
  <c r="C12"/>
  <c r="B12"/>
  <c r="F11"/>
  <c r="E11"/>
  <c r="D11"/>
  <c r="C11"/>
  <c r="B11"/>
  <c r="F10"/>
  <c r="E10"/>
  <c r="D10"/>
  <c r="C10"/>
  <c r="B10"/>
  <c r="F9"/>
  <c r="E9"/>
  <c r="D9"/>
  <c r="C9"/>
  <c r="B9"/>
  <c r="F8"/>
  <c r="E8"/>
  <c r="D8"/>
  <c r="C8"/>
  <c r="B8"/>
  <c r="F7"/>
  <c r="E7"/>
  <c r="D7"/>
  <c r="C7"/>
  <c r="B7"/>
  <c r="F6"/>
  <c r="E6"/>
  <c r="D6"/>
  <c r="C6"/>
  <c r="B6"/>
  <c r="F5"/>
  <c r="E5"/>
  <c r="D5"/>
  <c r="C5"/>
  <c r="B5"/>
</calcChain>
</file>

<file path=xl/sharedStrings.xml><?xml version="1.0" encoding="utf-8"?>
<sst xmlns="http://schemas.openxmlformats.org/spreadsheetml/2006/main" count="450" uniqueCount="140">
  <si>
    <t>December Balance Invested January - March</t>
    <phoneticPr fontId="2" type="noConversion"/>
  </si>
  <si>
    <t>December Balance</t>
    <phoneticPr fontId="2" type="noConversion"/>
  </si>
  <si>
    <t xml:space="preserve">Balance of PENSION FUND at Fiscal Year End (Mar) </t>
    <phoneticPr fontId="2" type="noConversion"/>
  </si>
  <si>
    <t>Amount to be Invested Dec. 31 = 3/4 Current Fiscal Year End</t>
    <phoneticPr fontId="2" type="noConversion"/>
  </si>
  <si>
    <t>Amount to be Invested Mar 31 = 1/4 Previous Fiscal Year End</t>
    <phoneticPr fontId="2" type="noConversion"/>
  </si>
  <si>
    <t>Fiscal Year End (Mar) Balance of PENSION FUND</t>
    <phoneticPr fontId="2" type="noConversion"/>
  </si>
  <si>
    <t>Year</t>
    <phoneticPr fontId="2" type="noConversion"/>
  </si>
  <si>
    <t>Rate</t>
    <phoneticPr fontId="2" type="noConversion"/>
  </si>
  <si>
    <t xml:space="preserve"> - Dec 31 Balance invested Full Year</t>
    <phoneticPr fontId="2" type="noConversion"/>
  </si>
  <si>
    <t>Amount to be Invested Dec. 31 = 3/4 Current Fiscal Year End</t>
    <phoneticPr fontId="2" type="noConversion"/>
  </si>
  <si>
    <t xml:space="preserve"> - Remaining Fiscal Balance Mar 31 Invested Apr - Dec</t>
    <phoneticPr fontId="2" type="noConversion"/>
  </si>
  <si>
    <t xml:space="preserve"> Canadian Equities (45%)</t>
    <phoneticPr fontId="2" type="noConversion"/>
  </si>
  <si>
    <t xml:space="preserve"> Fixed Income (24%)</t>
    <phoneticPr fontId="2" type="noConversion"/>
  </si>
  <si>
    <t xml:space="preserve"> Property (9%)</t>
    <phoneticPr fontId="2" type="noConversion"/>
  </si>
  <si>
    <t xml:space="preserve"> Short Term Notes (11%)</t>
    <phoneticPr fontId="2" type="noConversion"/>
  </si>
  <si>
    <t xml:space="preserve"> Foreign Equities (11%)</t>
    <phoneticPr fontId="2" type="noConversion"/>
  </si>
  <si>
    <t>Fiscal Balance Invested April - December</t>
    <phoneticPr fontId="2" type="noConversion"/>
  </si>
  <si>
    <t>End of Year (Dec) Balance of PENSION FUND</t>
    <phoneticPr fontId="2" type="noConversion"/>
  </si>
  <si>
    <t>***NOTE: Fiscal Year End Balance for FY1980-81 does not include Fiscal Year End = Contributions - Pensions because it is assumed government has included it in Pooled Pension Fund</t>
    <phoneticPr fontId="2" type="noConversion"/>
  </si>
  <si>
    <t>Mar 31. 1981</t>
    <phoneticPr fontId="2" type="noConversion"/>
  </si>
  <si>
    <t>***NOTE: Balance does not include budgetary contributions for FY1980-81 because it is assumed these have been included in the Pooled Pension Fund</t>
    <phoneticPr fontId="2" type="noConversion"/>
  </si>
  <si>
    <t>December Balance Invested Jan 1 &amp; Remaining Fiscal Year End Balance Invested Apr. 1</t>
    <phoneticPr fontId="2" type="noConversion"/>
  </si>
  <si>
    <t>FISCAL YEAR</t>
  </si>
  <si>
    <t>FISCAL YEAR</t>
    <phoneticPr fontId="2" type="noConversion"/>
  </si>
  <si>
    <t>FISCAL YEAR BALANCE</t>
    <phoneticPr fontId="2" type="noConversion"/>
  </si>
  <si>
    <t>Fiscal Year End Balance Invested Apr - Dec &amp; Dec Balance Reinvested Jan-Mar.</t>
    <phoneticPr fontId="2" type="noConversion"/>
  </si>
  <si>
    <t>Fiscal Year End  = Contributions - Pensions</t>
  </si>
  <si>
    <t>Asset Mix Yields</t>
    <phoneticPr fontId="2" type="noConversion"/>
  </si>
  <si>
    <t>Fiscal Year End  = Contributions - Pensions</t>
    <phoneticPr fontId="2" type="noConversion"/>
  </si>
  <si>
    <t>Fund Balance 1980</t>
    <phoneticPr fontId="2" type="noConversion"/>
  </si>
  <si>
    <t xml:space="preserve"> </t>
    <phoneticPr fontId="2" type="noConversion"/>
  </si>
  <si>
    <t xml:space="preserve"> Property (9%)</t>
    <phoneticPr fontId="2" type="noConversion"/>
  </si>
  <si>
    <t xml:space="preserve"> Short Term Notes (11%)</t>
    <phoneticPr fontId="2" type="noConversion"/>
  </si>
  <si>
    <t>Calendar Year Balance</t>
    <phoneticPr fontId="2" type="noConversion"/>
  </si>
  <si>
    <t>ANNUAL RATES OF RETURN</t>
    <phoneticPr fontId="2" type="noConversion"/>
  </si>
  <si>
    <t>CALENDAR YEAR</t>
    <phoneticPr fontId="2" type="noConversion"/>
  </si>
  <si>
    <t>Fiscal Year End = Contributions - Pensions</t>
    <phoneticPr fontId="2" type="noConversion"/>
  </si>
  <si>
    <t xml:space="preserve"> Fixed Income (24%)</t>
    <phoneticPr fontId="2" type="noConversion"/>
  </si>
  <si>
    <t xml:space="preserve"> Canadian Equities (45%)</t>
    <phoneticPr fontId="2" type="noConversion"/>
  </si>
  <si>
    <t xml:space="preserve"> Foreign Equities (11%)</t>
    <phoneticPr fontId="2" type="noConversion"/>
  </si>
  <si>
    <t>9.88 average rate of return</t>
  </si>
  <si>
    <t>Rate of Return</t>
  </si>
  <si>
    <t xml:space="preserve">Annual Rates of Return </t>
  </si>
  <si>
    <t>Province of Newfoundland and Labrador Pooled Pension Fund</t>
  </si>
  <si>
    <t>Foreign Equities</t>
    <phoneticPr fontId="2" type="noConversion"/>
  </si>
  <si>
    <t>Fixed income Securities</t>
    <phoneticPr fontId="2" type="noConversion"/>
  </si>
  <si>
    <t>Short Term Notes &amp; Deposits</t>
    <phoneticPr fontId="2" type="noConversion"/>
  </si>
  <si>
    <t>Pre 1981</t>
    <phoneticPr fontId="2" type="noConversion"/>
  </si>
  <si>
    <t>Canadian Equitites</t>
    <phoneticPr fontId="2" type="noConversion"/>
  </si>
  <si>
    <t>Property Investments</t>
    <phoneticPr fontId="2" type="noConversion"/>
  </si>
  <si>
    <t xml:space="preserve">ASSET MIX % </t>
    <phoneticPr fontId="2" type="noConversion"/>
  </si>
  <si>
    <t>Common Stock Index</t>
    <phoneticPr fontId="2" type="noConversion"/>
  </si>
  <si>
    <t>Canada Long Bonds</t>
    <phoneticPr fontId="2" type="noConversion"/>
  </si>
  <si>
    <t>Conventional Mortgage Index</t>
    <phoneticPr fontId="2" type="noConversion"/>
  </si>
  <si>
    <t>91 Day T-Bills</t>
    <phoneticPr fontId="2" type="noConversion"/>
  </si>
  <si>
    <t>US Common Stocks in Canadian $</t>
    <phoneticPr fontId="2" type="noConversion"/>
  </si>
  <si>
    <t>Cdn Equities</t>
    <phoneticPr fontId="2" type="noConversion"/>
  </si>
  <si>
    <t>Fixed Income</t>
    <phoneticPr fontId="2" type="noConversion"/>
  </si>
  <si>
    <t>Property</t>
    <phoneticPr fontId="2" type="noConversion"/>
  </si>
  <si>
    <t>Short-term Notes</t>
    <phoneticPr fontId="2" type="noConversion"/>
  </si>
  <si>
    <t xml:space="preserve"> </t>
    <phoneticPr fontId="2" type="noConversion"/>
  </si>
  <si>
    <t xml:space="preserve">  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</si>
  <si>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</si>
  <si>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</si>
  <si>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 </t>
    <phoneticPr fontId="2" type="noConversion"/>
  </si>
  <si>
    <t xml:space="preserve"> </t>
    <phoneticPr fontId="2" type="noConversion"/>
  </si>
  <si>
    <t xml:space="preserve">Government Matched Contributions </t>
  </si>
  <si>
    <t xml:space="preserve">Government Matched Contributions </t>
    <phoneticPr fontId="2" type="noConversion"/>
  </si>
  <si>
    <t>Total Contributions =Govt + Members</t>
  </si>
  <si>
    <t>Total Contributions =Govt + Members</t>
    <phoneticPr fontId="2" type="noConversion"/>
  </si>
  <si>
    <t>Year</t>
  </si>
  <si>
    <t>Year</t>
    <phoneticPr fontId="2" type="noConversion"/>
  </si>
  <si>
    <t>Common Stock Index</t>
  </si>
  <si>
    <t>Canada Long Bonds</t>
  </si>
  <si>
    <t>Conventional Mortgage Index</t>
  </si>
  <si>
    <t>91 Day T-Bills</t>
  </si>
  <si>
    <t>US Common Stocks in Canadian $</t>
  </si>
  <si>
    <t>NL Power Commission, Employees' Contributions</t>
    <phoneticPr fontId="2" type="noConversion"/>
  </si>
  <si>
    <t>* Recorded as ' Appropriations-in-Aid' prior to 1974.</t>
    <phoneticPr fontId="2" type="noConversion"/>
  </si>
  <si>
    <t>** Recorded as 'Civil Service Pension Contirbutions' prior to 1971</t>
    <phoneticPr fontId="2" type="noConversion"/>
  </si>
  <si>
    <t>Public Service Pension Contributions**</t>
    <phoneticPr fontId="2" type="noConversion"/>
  </si>
  <si>
    <t>Refunds: Teachers' Pension Contributions</t>
    <phoneticPr fontId="2" type="noConversion"/>
  </si>
  <si>
    <t>Newfoundland Federation of Fishermen</t>
    <phoneticPr fontId="2" type="noConversion"/>
  </si>
  <si>
    <t>Refunds: Constabulary Pensions</t>
    <phoneticPr fontId="2" type="noConversion"/>
  </si>
  <si>
    <t>Special Acts</t>
    <phoneticPr fontId="2" type="noConversion"/>
  </si>
  <si>
    <t>Other Pensions &amp; Gratuities</t>
    <phoneticPr fontId="2" type="noConversion"/>
  </si>
  <si>
    <t>Constabulary Pension Contributions</t>
    <phoneticPr fontId="2" type="noConversion"/>
  </si>
  <si>
    <t>Government of Canada Pensions</t>
    <phoneticPr fontId="2" type="noConversion"/>
  </si>
  <si>
    <t>Contributions to Pension Fund</t>
    <phoneticPr fontId="2" type="noConversion"/>
  </si>
  <si>
    <t>FY 1968-69</t>
  </si>
  <si>
    <t>FY 1969-70</t>
  </si>
  <si>
    <t>FY 1970-71</t>
  </si>
  <si>
    <t>FY 1970-71</t>
    <phoneticPr fontId="2" type="noConversion"/>
  </si>
  <si>
    <t>FY 1971-72</t>
  </si>
  <si>
    <t>FY 1972-73</t>
  </si>
  <si>
    <t>FY 1973-74</t>
  </si>
  <si>
    <t>FY 1974-75</t>
  </si>
  <si>
    <t>FY 1975-76</t>
  </si>
  <si>
    <t>FY 1975-76</t>
    <phoneticPr fontId="2" type="noConversion"/>
  </si>
  <si>
    <t>FY 1976-77</t>
  </si>
  <si>
    <t>FY 1976-77</t>
    <phoneticPr fontId="2" type="noConversion"/>
  </si>
  <si>
    <t>FY 1977-78</t>
  </si>
  <si>
    <t>FY 1977-78</t>
    <phoneticPr fontId="2" type="noConversion"/>
  </si>
  <si>
    <t xml:space="preserve">FY 1978-79 </t>
  </si>
  <si>
    <t>FY 1979-80</t>
  </si>
  <si>
    <t>FY 1979-80</t>
    <phoneticPr fontId="2" type="noConversion"/>
  </si>
  <si>
    <t>FY 1980-81</t>
  </si>
  <si>
    <t>FY 1980-81</t>
    <phoneticPr fontId="2" type="noConversion"/>
  </si>
  <si>
    <t>FY 1981-82</t>
    <phoneticPr fontId="2" type="noConversion"/>
  </si>
  <si>
    <t>FY 1968-69</t>
    <phoneticPr fontId="2" type="noConversion"/>
  </si>
  <si>
    <t>FY 1969-70</t>
    <phoneticPr fontId="2" type="noConversion"/>
  </si>
  <si>
    <t>FY 1971-72</t>
    <phoneticPr fontId="2" type="noConversion"/>
  </si>
  <si>
    <t>FY 1972-73</t>
    <phoneticPr fontId="2" type="noConversion"/>
  </si>
  <si>
    <t>FY 1973-74</t>
    <phoneticPr fontId="2" type="noConversion"/>
  </si>
  <si>
    <t>FY 1974-75</t>
    <phoneticPr fontId="2" type="noConversion"/>
  </si>
  <si>
    <t xml:space="preserve">FY 1978-79 </t>
    <phoneticPr fontId="2" type="noConversion"/>
  </si>
  <si>
    <t>Public Service Pensions &amp; Retiring Gratuities</t>
    <phoneticPr fontId="2" type="noConversion"/>
  </si>
  <si>
    <t>Death Gratuities</t>
    <phoneticPr fontId="2" type="noConversion"/>
  </si>
  <si>
    <t>Marriage Gratuities</t>
    <phoneticPr fontId="2" type="noConversion"/>
  </si>
  <si>
    <t>Railway Pensions</t>
    <phoneticPr fontId="2" type="noConversion"/>
  </si>
  <si>
    <t>Constabulary Pensions</t>
    <phoneticPr fontId="2" type="noConversion"/>
  </si>
  <si>
    <t>Fire Department Pensions</t>
    <phoneticPr fontId="2" type="noConversion"/>
  </si>
  <si>
    <t>Payment to RCMP Fund</t>
    <phoneticPr fontId="2" type="noConversion"/>
  </si>
  <si>
    <t>Ex-gratia Payments</t>
    <phoneticPr fontId="2" type="noConversion"/>
  </si>
  <si>
    <t>House of Assembly, Govt Contributions</t>
    <phoneticPr fontId="2" type="noConversion"/>
  </si>
  <si>
    <t>House of Assembly, Payment to Contributors</t>
    <phoneticPr fontId="2" type="noConversion"/>
  </si>
  <si>
    <t>Gander Pension</t>
    <phoneticPr fontId="2" type="noConversion"/>
  </si>
  <si>
    <t>Sub-total</t>
    <phoneticPr fontId="2" type="noConversion"/>
  </si>
  <si>
    <t>House of Assembly, Govt. Contribution</t>
    <phoneticPr fontId="2" type="noConversion"/>
  </si>
  <si>
    <t>House of Assembly, Member's Contribution</t>
    <phoneticPr fontId="2" type="noConversion"/>
  </si>
  <si>
    <t>Teachers' Pensions Contributions</t>
    <phoneticPr fontId="2" type="noConversion"/>
  </si>
  <si>
    <t>Teachers' Pensions</t>
    <phoneticPr fontId="2" type="noConversion"/>
  </si>
  <si>
    <t>Related Revenue*</t>
    <phoneticPr fontId="2" type="noConversion"/>
  </si>
  <si>
    <t>TOTAL</t>
    <phoneticPr fontId="2" type="noConversion"/>
  </si>
  <si>
    <t>Sub-total</t>
    <phoneticPr fontId="2" type="noConversion"/>
  </si>
  <si>
    <t>Refunds: Civil Service Pensions Contributions</t>
    <phoneticPr fontId="2" type="noConversion"/>
  </si>
  <si>
    <t>Refunds: House of Assembly Pension Contributions</t>
    <phoneticPr fontId="2" type="noConversion"/>
  </si>
  <si>
    <t>Pensions &amp; Gratuities</t>
    <phoneticPr fontId="2" type="noConversion"/>
  </si>
  <si>
    <t>FY 1967-68</t>
  </si>
  <si>
    <t>FY 1967-68</t>
    <phoneticPr fontId="2" type="noConversion"/>
  </si>
</sst>
</file>

<file path=xl/styles.xml><?xml version="1.0" encoding="utf-8"?>
<styleSheet xmlns="http://schemas.openxmlformats.org/spreadsheetml/2006/main">
  <numFmts count="3">
    <numFmt numFmtId="5" formatCode="&quot;$&quot;#,##0_);\(&quot;$&quot;#,##0\)"/>
    <numFmt numFmtId="164" formatCode="&quot;$&quot;#,##0;\-&quot;$&quot;#,##0"/>
    <numFmt numFmtId="165" formatCode="&quot;$&quot;#,##0.00;\-&quot;$&quot;#,##0.00"/>
  </numFmts>
  <fonts count="7">
    <font>
      <sz val="10"/>
      <name val="Verdana"/>
    </font>
    <font>
      <b/>
      <sz val="10"/>
      <name val="Verdana"/>
    </font>
    <font>
      <sz val="8"/>
      <name val="Verdana"/>
    </font>
    <font>
      <i/>
      <sz val="8"/>
      <name val="Verdana"/>
    </font>
    <font>
      <b/>
      <sz val="8"/>
      <name val="Verdana"/>
    </font>
    <font>
      <b/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mediumGray">
        <fgColor indexed="43"/>
        <bgColor indexed="9"/>
      </patternFill>
    </fill>
    <fill>
      <patternFill patternType="gray0625">
        <fgColor indexed="26"/>
        <bgColor indexed="34"/>
      </patternFill>
    </fill>
    <fill>
      <patternFill patternType="mediumGray">
        <fgColor indexed="2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 applyAlignment="1">
      <alignment horizontal="right"/>
    </xf>
    <xf numFmtId="164" fontId="4" fillId="0" borderId="0" xfId="0" applyNumberFormat="1" applyFont="1"/>
    <xf numFmtId="0" fontId="3" fillId="0" borderId="0" xfId="0" applyFont="1"/>
    <xf numFmtId="5" fontId="2" fillId="0" borderId="0" xfId="0" applyNumberFormat="1" applyFont="1" applyAlignment="1">
      <alignment horizontal="right"/>
    </xf>
    <xf numFmtId="5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0" fillId="0" borderId="0" xfId="0" applyAlignment="1">
      <alignment horizontal="center"/>
    </xf>
    <xf numFmtId="5" fontId="0" fillId="0" borderId="0" xfId="0" applyNumberFormat="1"/>
    <xf numFmtId="0" fontId="2" fillId="0" borderId="0" xfId="0" applyNumberFormat="1" applyFont="1"/>
    <xf numFmtId="5" fontId="4" fillId="0" borderId="0" xfId="0" applyNumberFormat="1" applyFont="1"/>
    <xf numFmtId="5" fontId="2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2" borderId="0" xfId="0" applyFont="1" applyFill="1"/>
    <xf numFmtId="0" fontId="0" fillId="2" borderId="0" xfId="0" applyFill="1"/>
    <xf numFmtId="0" fontId="4" fillId="2" borderId="0" xfId="0" applyFont="1" applyFill="1"/>
    <xf numFmtId="5" fontId="2" fillId="2" borderId="0" xfId="0" applyNumberFormat="1" applyFont="1" applyFill="1"/>
    <xf numFmtId="0" fontId="2" fillId="2" borderId="0" xfId="0" applyFont="1" applyFill="1"/>
    <xf numFmtId="5" fontId="4" fillId="2" borderId="0" xfId="0" applyNumberFormat="1" applyFont="1" applyFill="1"/>
    <xf numFmtId="5" fontId="1" fillId="3" borderId="0" xfId="0" applyNumberFormat="1" applyFont="1" applyFill="1"/>
    <xf numFmtId="5" fontId="0" fillId="3" borderId="0" xfId="0" applyNumberFormat="1" applyFill="1"/>
    <xf numFmtId="0" fontId="1" fillId="0" borderId="0" xfId="0" applyNumberFormat="1" applyFont="1"/>
    <xf numFmtId="5" fontId="1" fillId="2" borderId="0" xfId="0" applyNumberFormat="1" applyFont="1" applyFill="1"/>
    <xf numFmtId="165" fontId="2" fillId="0" borderId="0" xfId="0" applyNumberFormat="1" applyFont="1"/>
    <xf numFmtId="5" fontId="0" fillId="4" borderId="0" xfId="0" applyNumberFormat="1" applyFill="1"/>
    <xf numFmtId="5" fontId="1" fillId="4" borderId="0" xfId="0" applyNumberFormat="1" applyFont="1" applyFill="1"/>
    <xf numFmtId="5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3:P100"/>
  <sheetViews>
    <sheetView topLeftCell="E47" zoomScale="110" zoomScaleNormal="150" zoomScalePageLayoutView="150" workbookViewId="0">
      <selection activeCell="O78" sqref="O78"/>
    </sheetView>
  </sheetViews>
  <sheetFormatPr defaultColWidth="11" defaultRowHeight="12.75"/>
  <cols>
    <col min="1" max="1" width="34.875" customWidth="1"/>
    <col min="2" max="2" width="14.25" customWidth="1"/>
    <col min="3" max="3" width="13.25" customWidth="1"/>
  </cols>
  <sheetData>
    <row r="3" spans="1:16" s="1" customFormat="1">
      <c r="B3" s="1" t="s">
        <v>139</v>
      </c>
      <c r="C3" s="1" t="s">
        <v>109</v>
      </c>
      <c r="D3" s="1" t="s">
        <v>110</v>
      </c>
      <c r="E3" s="1" t="s">
        <v>92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98</v>
      </c>
      <c r="K3" s="1" t="s">
        <v>100</v>
      </c>
      <c r="L3" s="1" t="s">
        <v>102</v>
      </c>
      <c r="M3" s="1" t="s">
        <v>115</v>
      </c>
      <c r="N3" s="1" t="s">
        <v>105</v>
      </c>
      <c r="O3" s="1" t="s">
        <v>107</v>
      </c>
      <c r="P3" s="1" t="s">
        <v>108</v>
      </c>
    </row>
    <row r="4" spans="1:16">
      <c r="A4" s="1" t="s">
        <v>137</v>
      </c>
    </row>
    <row r="5" spans="1:16">
      <c r="A5" s="2" t="s">
        <v>116</v>
      </c>
      <c r="B5" s="4">
        <v>518000</v>
      </c>
      <c r="C5" s="4">
        <v>470527</v>
      </c>
      <c r="D5" s="4">
        <v>828875</v>
      </c>
      <c r="E5" s="4">
        <v>809037</v>
      </c>
      <c r="F5" s="4">
        <v>922408</v>
      </c>
      <c r="G5" s="4">
        <v>1112348</v>
      </c>
      <c r="H5" s="4">
        <v>1554911</v>
      </c>
      <c r="I5" s="4">
        <v>2481193</v>
      </c>
      <c r="J5" s="4">
        <v>3021643</v>
      </c>
      <c r="K5" s="4">
        <v>3573939</v>
      </c>
      <c r="L5" s="4">
        <v>4623788</v>
      </c>
      <c r="M5" s="4">
        <v>5736424</v>
      </c>
      <c r="N5" s="4">
        <v>6833602</v>
      </c>
      <c r="O5" s="4">
        <v>2257193</v>
      </c>
      <c r="P5" s="4">
        <v>17336764</v>
      </c>
    </row>
    <row r="6" spans="1:16">
      <c r="A6" s="2" t="s">
        <v>117</v>
      </c>
      <c r="B6" s="4">
        <v>35254</v>
      </c>
      <c r="C6" s="4">
        <v>3854</v>
      </c>
      <c r="D6" s="7">
        <v>0</v>
      </c>
      <c r="E6" s="4">
        <v>2510</v>
      </c>
      <c r="F6" s="4">
        <v>0</v>
      </c>
      <c r="G6" s="4">
        <v>486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O6" s="4"/>
      <c r="P6" s="4"/>
    </row>
    <row r="7" spans="1:16">
      <c r="A7" s="2" t="s">
        <v>118</v>
      </c>
      <c r="B7" s="4">
        <v>47655</v>
      </c>
      <c r="C7" s="4">
        <v>34840</v>
      </c>
      <c r="D7" s="4">
        <v>37324</v>
      </c>
      <c r="E7" s="4">
        <v>54495</v>
      </c>
      <c r="F7" s="4">
        <v>30523</v>
      </c>
      <c r="G7" s="4">
        <v>36553</v>
      </c>
      <c r="H7" s="4">
        <v>19938</v>
      </c>
      <c r="I7" s="4">
        <v>33987</v>
      </c>
      <c r="J7" s="4">
        <v>15896</v>
      </c>
      <c r="K7" s="4">
        <v>0</v>
      </c>
      <c r="L7" s="4">
        <v>0</v>
      </c>
      <c r="M7" s="4">
        <v>0</v>
      </c>
      <c r="O7" s="4"/>
      <c r="P7" s="4"/>
    </row>
    <row r="8" spans="1:16">
      <c r="A8" s="2" t="s">
        <v>119</v>
      </c>
      <c r="B8" s="4">
        <v>463795</v>
      </c>
      <c r="C8" s="4">
        <v>443351</v>
      </c>
      <c r="D8" s="4">
        <v>605234</v>
      </c>
      <c r="E8" s="4">
        <v>504587</v>
      </c>
      <c r="F8" s="4">
        <v>481291</v>
      </c>
      <c r="G8" s="4">
        <v>517833</v>
      </c>
      <c r="H8" s="4">
        <v>498022</v>
      </c>
      <c r="I8" s="4">
        <v>790107</v>
      </c>
      <c r="J8" s="4">
        <v>782376</v>
      </c>
      <c r="K8" s="4">
        <v>747120</v>
      </c>
      <c r="L8" s="4">
        <v>666677</v>
      </c>
      <c r="M8" s="4">
        <v>665372</v>
      </c>
      <c r="N8" s="4">
        <v>387385</v>
      </c>
      <c r="O8" s="4">
        <v>705253</v>
      </c>
      <c r="P8" s="4">
        <v>875327</v>
      </c>
    </row>
    <row r="9" spans="1:16">
      <c r="A9" s="2" t="s">
        <v>87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>
        <v>185113</v>
      </c>
      <c r="O9" s="4">
        <v>84277</v>
      </c>
      <c r="P9" s="4"/>
    </row>
    <row r="10" spans="1:16">
      <c r="A10" s="2" t="s">
        <v>120</v>
      </c>
      <c r="B10" s="4">
        <v>332220</v>
      </c>
      <c r="C10" s="4">
        <v>341975</v>
      </c>
      <c r="D10" s="4">
        <v>346399</v>
      </c>
      <c r="E10" s="4">
        <v>344938</v>
      </c>
      <c r="F10" s="4">
        <v>427566</v>
      </c>
      <c r="G10" s="4">
        <v>498907</v>
      </c>
      <c r="H10" s="4">
        <v>578831</v>
      </c>
      <c r="I10" s="4">
        <v>679960</v>
      </c>
      <c r="J10" s="4">
        <v>810409</v>
      </c>
      <c r="K10" s="4">
        <v>892899</v>
      </c>
      <c r="L10" s="4">
        <v>1026095</v>
      </c>
      <c r="M10" s="4">
        <v>1143598</v>
      </c>
      <c r="N10" s="4">
        <v>1152127</v>
      </c>
      <c r="O10" s="4">
        <v>367140</v>
      </c>
      <c r="P10" s="4"/>
    </row>
    <row r="11" spans="1:16">
      <c r="A11" s="2" t="s">
        <v>83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>
        <v>21586</v>
      </c>
      <c r="N11" s="4">
        <v>26370</v>
      </c>
      <c r="O11" s="4">
        <v>5656</v>
      </c>
      <c r="P11" s="4"/>
    </row>
    <row r="12" spans="1:16">
      <c r="A12" s="2" t="s">
        <v>121</v>
      </c>
      <c r="B12" s="4">
        <v>41434</v>
      </c>
      <c r="C12" s="4">
        <v>58773</v>
      </c>
      <c r="D12" s="4">
        <v>82621</v>
      </c>
      <c r="E12" s="4">
        <v>83466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O12" s="4"/>
      <c r="P12" s="4"/>
    </row>
    <row r="13" spans="1:16">
      <c r="A13" s="2" t="s">
        <v>122</v>
      </c>
      <c r="B13" s="4">
        <v>17171</v>
      </c>
      <c r="C13" s="4">
        <v>17171</v>
      </c>
      <c r="D13" s="4">
        <v>17171</v>
      </c>
      <c r="E13" s="4">
        <v>17171</v>
      </c>
      <c r="F13" s="4">
        <v>17171</v>
      </c>
      <c r="G13" s="4">
        <v>17246</v>
      </c>
      <c r="H13" s="4">
        <v>17171</v>
      </c>
      <c r="I13" s="4">
        <v>17171</v>
      </c>
      <c r="J13" s="4">
        <v>17171</v>
      </c>
      <c r="K13" s="4">
        <v>17171</v>
      </c>
      <c r="L13" s="4">
        <v>17172</v>
      </c>
      <c r="M13" s="4">
        <v>17171</v>
      </c>
      <c r="N13" s="4">
        <v>9927</v>
      </c>
      <c r="O13" s="4">
        <v>397</v>
      </c>
      <c r="P13" s="4"/>
    </row>
    <row r="14" spans="1:16">
      <c r="A14" s="2" t="s">
        <v>123</v>
      </c>
      <c r="B14" s="4">
        <v>41171</v>
      </c>
      <c r="C14" s="4">
        <v>80378</v>
      </c>
      <c r="D14" s="4">
        <v>96693</v>
      </c>
      <c r="E14" s="4">
        <v>152352</v>
      </c>
      <c r="F14" s="4">
        <v>293110</v>
      </c>
      <c r="G14" s="4">
        <v>164808</v>
      </c>
      <c r="H14" s="4">
        <v>271315</v>
      </c>
      <c r="I14" s="4">
        <v>332969</v>
      </c>
      <c r="J14" s="4">
        <v>359076</v>
      </c>
      <c r="K14" s="4">
        <v>274579</v>
      </c>
      <c r="L14" s="4">
        <v>385694</v>
      </c>
      <c r="M14" s="4">
        <v>636418</v>
      </c>
      <c r="N14" s="4">
        <v>772625</v>
      </c>
      <c r="O14" s="4">
        <v>1018364</v>
      </c>
      <c r="P14" s="4">
        <v>1212122</v>
      </c>
    </row>
    <row r="15" spans="1:16">
      <c r="A15" s="2" t="s">
        <v>124</v>
      </c>
      <c r="B15" s="4">
        <v>18151</v>
      </c>
      <c r="C15" s="4">
        <v>40778</v>
      </c>
      <c r="D15" s="4">
        <v>36711</v>
      </c>
      <c r="E15" s="4">
        <v>49634</v>
      </c>
      <c r="F15" s="4">
        <v>29656</v>
      </c>
      <c r="G15" s="4">
        <v>60209</v>
      </c>
      <c r="H15" s="4">
        <v>79688</v>
      </c>
      <c r="I15" s="4">
        <v>55484</v>
      </c>
      <c r="J15" s="4">
        <v>32899</v>
      </c>
      <c r="K15" s="4">
        <v>0</v>
      </c>
      <c r="L15" s="4">
        <v>0</v>
      </c>
      <c r="M15" s="4"/>
      <c r="O15" s="4"/>
      <c r="P15" s="4"/>
    </row>
    <row r="16" spans="1:16">
      <c r="A16" s="2" t="s">
        <v>125</v>
      </c>
      <c r="B16" s="4">
        <v>27738</v>
      </c>
      <c r="C16" s="4">
        <v>24603</v>
      </c>
      <c r="D16" s="4">
        <v>24565</v>
      </c>
      <c r="E16" s="4">
        <v>24565</v>
      </c>
      <c r="F16" s="4">
        <v>38180</v>
      </c>
      <c r="G16" s="4">
        <v>99178</v>
      </c>
      <c r="H16" s="4">
        <v>98442</v>
      </c>
      <c r="I16" s="4">
        <v>106914</v>
      </c>
      <c r="J16" s="4">
        <v>118744</v>
      </c>
      <c r="K16" s="4">
        <v>110444</v>
      </c>
      <c r="L16" s="4">
        <v>125044</v>
      </c>
      <c r="M16" s="4">
        <v>151898</v>
      </c>
      <c r="N16" s="4">
        <v>231878</v>
      </c>
      <c r="O16" s="4">
        <v>71842</v>
      </c>
      <c r="P16" s="4"/>
    </row>
    <row r="17" spans="1:16">
      <c r="A17" s="2" t="s">
        <v>131</v>
      </c>
      <c r="B17" s="4">
        <v>429477</v>
      </c>
      <c r="C17" s="4">
        <v>470866</v>
      </c>
      <c r="D17" s="4">
        <f>519204+91534+100</f>
        <v>610838</v>
      </c>
      <c r="E17" s="4">
        <v>737617</v>
      </c>
      <c r="F17" s="4">
        <v>684687</v>
      </c>
      <c r="G17" s="4">
        <v>884084</v>
      </c>
      <c r="H17" s="4">
        <v>1232782</v>
      </c>
      <c r="I17" s="4">
        <v>1659489</v>
      </c>
      <c r="J17" s="4">
        <v>2044230</v>
      </c>
      <c r="K17" s="4">
        <v>2278784</v>
      </c>
      <c r="L17" s="4">
        <v>2781361</v>
      </c>
      <c r="M17" s="4">
        <v>3585873</v>
      </c>
      <c r="N17" s="4">
        <v>4299914</v>
      </c>
      <c r="O17" s="4">
        <v>1346894</v>
      </c>
      <c r="P17" s="4"/>
    </row>
    <row r="18" spans="1:16">
      <c r="A18" s="2" t="s">
        <v>135</v>
      </c>
      <c r="B18" s="4">
        <v>0</v>
      </c>
      <c r="C18" s="4">
        <v>382029</v>
      </c>
      <c r="D18" s="4">
        <v>458119</v>
      </c>
      <c r="E18" s="4">
        <v>480756</v>
      </c>
      <c r="F18" s="4">
        <v>562083</v>
      </c>
      <c r="G18" s="4">
        <v>798126</v>
      </c>
      <c r="H18" s="4">
        <v>898400</v>
      </c>
      <c r="I18" s="4">
        <v>1153360</v>
      </c>
      <c r="J18" s="4">
        <v>1304070</v>
      </c>
      <c r="K18" s="4">
        <v>1263982</v>
      </c>
      <c r="L18" s="4">
        <v>1582358</v>
      </c>
      <c r="M18" s="4">
        <v>1770480</v>
      </c>
      <c r="N18" s="4">
        <v>2007311</v>
      </c>
      <c r="O18" s="4">
        <v>750288</v>
      </c>
      <c r="P18" s="4"/>
    </row>
    <row r="19" spans="1:16">
      <c r="A19" s="2" t="s">
        <v>126</v>
      </c>
      <c r="B19" s="4">
        <v>12426</v>
      </c>
      <c r="C19" s="4">
        <v>16650</v>
      </c>
      <c r="D19" s="4">
        <v>13802</v>
      </c>
      <c r="E19" s="4">
        <v>10557</v>
      </c>
      <c r="F19" s="4">
        <v>6791</v>
      </c>
      <c r="G19" s="4">
        <v>3664</v>
      </c>
      <c r="H19" s="4">
        <v>6411</v>
      </c>
      <c r="I19" s="4">
        <v>0</v>
      </c>
      <c r="J19" s="4">
        <v>1000</v>
      </c>
      <c r="K19" s="4">
        <v>5000</v>
      </c>
      <c r="L19" s="4">
        <v>0</v>
      </c>
      <c r="M19" s="4">
        <v>0</v>
      </c>
      <c r="O19" s="4"/>
      <c r="P19" s="4"/>
    </row>
    <row r="20" spans="1:16">
      <c r="A20" s="2" t="s">
        <v>136</v>
      </c>
      <c r="B20" s="4">
        <v>0</v>
      </c>
      <c r="C20" s="4">
        <v>101</v>
      </c>
      <c r="D20" s="4">
        <v>2019</v>
      </c>
      <c r="E20" s="4">
        <v>0</v>
      </c>
      <c r="F20" s="4">
        <v>13857</v>
      </c>
      <c r="G20" s="4">
        <v>959</v>
      </c>
      <c r="H20" s="4">
        <v>6778</v>
      </c>
      <c r="I20" s="4">
        <v>11150</v>
      </c>
      <c r="J20" s="4">
        <v>21685</v>
      </c>
      <c r="K20" s="4">
        <v>4091</v>
      </c>
      <c r="L20" s="4">
        <v>0</v>
      </c>
      <c r="M20" s="4">
        <v>1321</v>
      </c>
      <c r="N20" s="4">
        <v>32625</v>
      </c>
      <c r="O20" s="4">
        <v>0</v>
      </c>
      <c r="P20" s="4"/>
    </row>
    <row r="21" spans="1:16">
      <c r="A21" s="2" t="s">
        <v>81</v>
      </c>
      <c r="B21" s="4">
        <v>0</v>
      </c>
      <c r="C21" s="4">
        <v>0</v>
      </c>
      <c r="D21" s="4">
        <v>0</v>
      </c>
      <c r="E21" s="4">
        <v>115640</v>
      </c>
      <c r="F21" s="4">
        <v>218421</v>
      </c>
      <c r="G21" s="4">
        <v>304521</v>
      </c>
      <c r="H21" s="4">
        <v>336201</v>
      </c>
      <c r="I21" s="4">
        <v>367519</v>
      </c>
      <c r="J21" s="4">
        <v>319468</v>
      </c>
      <c r="K21" s="4">
        <v>330249</v>
      </c>
      <c r="L21" s="4">
        <v>391247</v>
      </c>
      <c r="M21" s="4">
        <v>445105</v>
      </c>
      <c r="N21" s="4">
        <v>462740</v>
      </c>
      <c r="O21" s="4">
        <v>82428</v>
      </c>
      <c r="P21" s="4"/>
    </row>
    <row r="22" spans="1:16">
      <c r="A22" s="2" t="s">
        <v>84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>
        <v>102126</v>
      </c>
      <c r="N22" s="7">
        <v>110738</v>
      </c>
      <c r="O22" s="4">
        <v>140775</v>
      </c>
      <c r="P22" s="4">
        <v>132443</v>
      </c>
    </row>
    <row r="23" spans="1:16">
      <c r="A23" s="2" t="s">
        <v>85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>
        <v>2000</v>
      </c>
      <c r="N23" s="7">
        <v>5160</v>
      </c>
      <c r="O23" s="4">
        <v>5160</v>
      </c>
      <c r="P23" s="4">
        <v>10090</v>
      </c>
    </row>
    <row r="24" spans="1:16">
      <c r="A24" s="3" t="s">
        <v>127</v>
      </c>
      <c r="B24" s="4">
        <f t="shared" ref="B24:L24" si="0">SUM(B5:B21)</f>
        <v>1984492</v>
      </c>
      <c r="C24" s="4">
        <f t="shared" si="0"/>
        <v>2385896</v>
      </c>
      <c r="D24" s="4">
        <f t="shared" si="0"/>
        <v>3160371</v>
      </c>
      <c r="E24" s="4">
        <f t="shared" si="0"/>
        <v>3387325</v>
      </c>
      <c r="F24" s="4">
        <f t="shared" si="0"/>
        <v>3725744</v>
      </c>
      <c r="G24" s="4">
        <f t="shared" si="0"/>
        <v>4498922</v>
      </c>
      <c r="H24" s="4">
        <f t="shared" si="0"/>
        <v>5598890</v>
      </c>
      <c r="I24" s="4">
        <f t="shared" si="0"/>
        <v>7689303</v>
      </c>
      <c r="J24" s="4">
        <f t="shared" si="0"/>
        <v>8848667</v>
      </c>
      <c r="K24" s="4">
        <f t="shared" si="0"/>
        <v>9498258</v>
      </c>
      <c r="L24" s="4">
        <f t="shared" si="0"/>
        <v>11599436</v>
      </c>
      <c r="M24" s="4">
        <f>SUM(M5:M23)</f>
        <v>14279372</v>
      </c>
      <c r="N24" s="4">
        <f>SUM(N5:N23)</f>
        <v>16517515</v>
      </c>
      <c r="O24" s="4">
        <f>SUM(O5:O23)</f>
        <v>6835667</v>
      </c>
      <c r="P24" s="4">
        <f>SUM(P5:P20)</f>
        <v>19424213</v>
      </c>
    </row>
    <row r="25" spans="1:16">
      <c r="A25" s="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s="1" customFormat="1">
      <c r="A26" s="5" t="s">
        <v>88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>
        <v>11393449</v>
      </c>
      <c r="P26" s="9">
        <v>17336764</v>
      </c>
    </row>
    <row r="27" spans="1:16">
      <c r="A27" s="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>
      <c r="A28" s="5" t="s">
        <v>132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>
      <c r="A29" s="2" t="s">
        <v>128</v>
      </c>
      <c r="B29" s="4">
        <v>-18151</v>
      </c>
      <c r="C29" s="4">
        <v>-42388</v>
      </c>
      <c r="D29" s="4">
        <v>-35102</v>
      </c>
      <c r="E29" s="4">
        <v>-47825</v>
      </c>
      <c r="F29" s="4">
        <v>-28646</v>
      </c>
      <c r="G29" s="4">
        <v>-63036</v>
      </c>
      <c r="H29" s="4">
        <v>-95434</v>
      </c>
      <c r="I29" s="4">
        <v>-29740</v>
      </c>
      <c r="J29" s="4">
        <v>-58643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/>
    </row>
    <row r="30" spans="1:16">
      <c r="A30" s="2" t="s">
        <v>129</v>
      </c>
      <c r="B30" s="4">
        <v>-24315</v>
      </c>
      <c r="C30" s="4">
        <v>-19082</v>
      </c>
      <c r="D30" s="4">
        <v>-19715</v>
      </c>
      <c r="E30" s="4">
        <v>-31725</v>
      </c>
      <c r="F30" s="4">
        <v>-13370</v>
      </c>
      <c r="G30" s="4">
        <v>-63278</v>
      </c>
      <c r="H30" s="4">
        <v>-23309</v>
      </c>
      <c r="I30" s="4">
        <v>-34154</v>
      </c>
      <c r="J30" s="4">
        <v>-35700</v>
      </c>
      <c r="K30" s="4">
        <v>-53610</v>
      </c>
      <c r="L30" s="4">
        <v>-67900</v>
      </c>
      <c r="M30" s="4">
        <v>-73080</v>
      </c>
      <c r="N30" s="4">
        <v>-97249</v>
      </c>
      <c r="O30" s="4">
        <v>-77530</v>
      </c>
      <c r="P30" s="4"/>
    </row>
    <row r="31" spans="1:16">
      <c r="A31" s="2" t="s">
        <v>130</v>
      </c>
      <c r="B31" s="4">
        <v>-539261</v>
      </c>
      <c r="C31" s="4">
        <v>-810025</v>
      </c>
      <c r="D31" s="4">
        <v>-922803</v>
      </c>
      <c r="E31" s="4">
        <v>-1076210</v>
      </c>
      <c r="F31" s="4">
        <v>-1312459</v>
      </c>
      <c r="G31" s="4">
        <v>-1864644</v>
      </c>
      <c r="H31" s="4">
        <v>-2699596</v>
      </c>
      <c r="I31" s="4">
        <v>-2913574</v>
      </c>
      <c r="J31" s="4">
        <v>-3305500</v>
      </c>
      <c r="K31" s="4">
        <v>-4392613</v>
      </c>
      <c r="L31" s="4">
        <v>-4951233</v>
      </c>
      <c r="M31" s="4">
        <v>-5198292</v>
      </c>
      <c r="N31" s="4">
        <v>-6243100</v>
      </c>
      <c r="O31" s="4">
        <v>-1540288</v>
      </c>
      <c r="P31" s="4"/>
    </row>
    <row r="32" spans="1:16">
      <c r="A32" s="2" t="s">
        <v>80</v>
      </c>
      <c r="B32" s="4">
        <v>-1522238</v>
      </c>
      <c r="C32" s="4">
        <v>-1783951</v>
      </c>
      <c r="D32" s="4">
        <v>-2200132</v>
      </c>
      <c r="E32" s="4">
        <v>-3104222</v>
      </c>
      <c r="F32" s="4">
        <v>-3483100</v>
      </c>
      <c r="G32" s="4">
        <v>-3905341</v>
      </c>
      <c r="H32" s="4">
        <v>-4816783</v>
      </c>
      <c r="I32" s="4">
        <v>-5947625</v>
      </c>
      <c r="J32" s="4">
        <v>-7472343</v>
      </c>
      <c r="K32" s="4">
        <v>-9168202</v>
      </c>
      <c r="L32" s="4">
        <v>-10634082</v>
      </c>
      <c r="M32" s="4">
        <v>-11835366</v>
      </c>
      <c r="N32" s="4">
        <v>-13704788</v>
      </c>
      <c r="O32" s="4">
        <v>-3377822</v>
      </c>
      <c r="P32" s="4">
        <v>-151204</v>
      </c>
    </row>
    <row r="33" spans="1:16">
      <c r="A33" s="2" t="s">
        <v>86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-14949</v>
      </c>
      <c r="M33" s="4">
        <v>-468169</v>
      </c>
      <c r="N33" s="4">
        <v>-505335</v>
      </c>
      <c r="O33" s="4">
        <v>-97604</v>
      </c>
      <c r="P33" s="4">
        <v>-39120</v>
      </c>
    </row>
    <row r="34" spans="1:16">
      <c r="A34" s="2" t="s">
        <v>77</v>
      </c>
      <c r="B34" s="7">
        <v>0</v>
      </c>
      <c r="C34" s="7">
        <v>-112861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</row>
    <row r="35" spans="1:16">
      <c r="A35" s="2" t="s">
        <v>82</v>
      </c>
      <c r="B35" s="7">
        <v>0</v>
      </c>
      <c r="C35" s="7">
        <v>0</v>
      </c>
      <c r="D35" s="4">
        <v>0</v>
      </c>
      <c r="E35" s="4">
        <v>0</v>
      </c>
      <c r="F35" s="4">
        <v>0</v>
      </c>
      <c r="G35" s="4">
        <v>0</v>
      </c>
      <c r="H35" s="4">
        <v>-43800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</row>
    <row r="36" spans="1:16">
      <c r="A36" s="6" t="s">
        <v>134</v>
      </c>
      <c r="B36" s="7">
        <f t="shared" ref="B36:K36" si="1">SUM(B29:B35)</f>
        <v>-2103965</v>
      </c>
      <c r="C36" s="7">
        <f t="shared" si="1"/>
        <v>-2768307</v>
      </c>
      <c r="D36" s="7">
        <f t="shared" si="1"/>
        <v>-3177752</v>
      </c>
      <c r="E36" s="7">
        <f t="shared" si="1"/>
        <v>-4259982</v>
      </c>
      <c r="F36" s="7">
        <f t="shared" si="1"/>
        <v>-4837575</v>
      </c>
      <c r="G36" s="7">
        <f t="shared" si="1"/>
        <v>-5896299</v>
      </c>
      <c r="H36" s="7">
        <f t="shared" si="1"/>
        <v>-7678922</v>
      </c>
      <c r="I36" s="7">
        <f t="shared" si="1"/>
        <v>-8925093</v>
      </c>
      <c r="J36" s="7">
        <f t="shared" si="1"/>
        <v>-10872186</v>
      </c>
      <c r="K36" s="7">
        <f t="shared" si="1"/>
        <v>-13614425</v>
      </c>
      <c r="L36" s="7">
        <f>SUM(L30:L35)</f>
        <v>-15668164</v>
      </c>
      <c r="M36" s="7">
        <f>SUM(M30:M34)</f>
        <v>-17574907</v>
      </c>
      <c r="N36" s="7">
        <f>SUM(N29:N35)</f>
        <v>-20550472</v>
      </c>
      <c r="O36" s="7">
        <f>SUM(O29:O35)</f>
        <v>-5093244</v>
      </c>
      <c r="P36" s="7">
        <f>SUM(P29:P35)</f>
        <v>-190324</v>
      </c>
    </row>
    <row r="37" spans="1:16" s="1" customFormat="1">
      <c r="A37" s="5" t="s">
        <v>133</v>
      </c>
      <c r="B37" s="8">
        <f>B36+B24</f>
        <v>-119473</v>
      </c>
      <c r="C37" s="8">
        <f>C36+C24</f>
        <v>-382411</v>
      </c>
      <c r="D37" s="8">
        <f t="shared" ref="D37:P37" si="2">D36+D24</f>
        <v>-17381</v>
      </c>
      <c r="E37" s="8">
        <f t="shared" si="2"/>
        <v>-872657</v>
      </c>
      <c r="F37" s="8">
        <f t="shared" si="2"/>
        <v>-1111831</v>
      </c>
      <c r="G37" s="8">
        <f t="shared" si="2"/>
        <v>-1397377</v>
      </c>
      <c r="H37" s="8">
        <f t="shared" si="2"/>
        <v>-2080032</v>
      </c>
      <c r="I37" s="8">
        <f t="shared" si="2"/>
        <v>-1235790</v>
      </c>
      <c r="J37" s="8">
        <f t="shared" si="2"/>
        <v>-2023519</v>
      </c>
      <c r="K37" s="8">
        <f t="shared" si="2"/>
        <v>-4116167</v>
      </c>
      <c r="L37" s="8">
        <f t="shared" si="2"/>
        <v>-4068728</v>
      </c>
      <c r="M37" s="8">
        <f t="shared" si="2"/>
        <v>-3295535</v>
      </c>
      <c r="N37" s="8">
        <f t="shared" si="2"/>
        <v>-4032957</v>
      </c>
      <c r="O37" s="8">
        <f t="shared" si="2"/>
        <v>1742423</v>
      </c>
      <c r="P37" s="8">
        <f t="shared" si="2"/>
        <v>19233889</v>
      </c>
    </row>
    <row r="39" spans="1:16">
      <c r="A39" t="s">
        <v>78</v>
      </c>
      <c r="M39" t="s">
        <v>60</v>
      </c>
    </row>
    <row r="40" spans="1:16">
      <c r="A40" t="s">
        <v>79</v>
      </c>
      <c r="L40" t="s">
        <v>60</v>
      </c>
      <c r="M40" t="s">
        <v>60</v>
      </c>
      <c r="N40" t="s">
        <v>61</v>
      </c>
      <c r="O40" t="s">
        <v>62</v>
      </c>
      <c r="P40" t="s">
        <v>60</v>
      </c>
    </row>
    <row r="41" spans="1:16">
      <c r="K41" t="s">
        <v>63</v>
      </c>
      <c r="M41" t="s">
        <v>60</v>
      </c>
      <c r="N41" t="s">
        <v>60</v>
      </c>
      <c r="O41" t="s">
        <v>65</v>
      </c>
    </row>
    <row r="42" spans="1:16" s="15" customFormat="1" ht="10.5">
      <c r="A42" s="14" t="s">
        <v>67</v>
      </c>
      <c r="B42" s="15">
        <f>B36</f>
        <v>-2103965</v>
      </c>
      <c r="C42" s="15">
        <f t="shared" ref="C42:P42" si="3">C36</f>
        <v>-2768307</v>
      </c>
      <c r="D42" s="15">
        <f t="shared" si="3"/>
        <v>-3177752</v>
      </c>
      <c r="E42" s="15">
        <f t="shared" si="3"/>
        <v>-4259982</v>
      </c>
      <c r="F42" s="15">
        <f t="shared" si="3"/>
        <v>-4837575</v>
      </c>
      <c r="G42" s="15">
        <f t="shared" si="3"/>
        <v>-5896299</v>
      </c>
      <c r="H42" s="15">
        <f t="shared" si="3"/>
        <v>-7678922</v>
      </c>
      <c r="I42" s="15">
        <f t="shared" si="3"/>
        <v>-8925093</v>
      </c>
      <c r="J42" s="15">
        <f t="shared" si="3"/>
        <v>-10872186</v>
      </c>
      <c r="K42" s="15">
        <f t="shared" si="3"/>
        <v>-13614425</v>
      </c>
      <c r="L42" s="15">
        <f t="shared" si="3"/>
        <v>-15668164</v>
      </c>
      <c r="M42" s="15">
        <f t="shared" si="3"/>
        <v>-17574907</v>
      </c>
      <c r="N42" s="15">
        <f t="shared" si="3"/>
        <v>-20550472</v>
      </c>
      <c r="O42" s="15">
        <f t="shared" si="3"/>
        <v>-5093244</v>
      </c>
      <c r="P42" s="15">
        <f t="shared" si="3"/>
        <v>-190324</v>
      </c>
    </row>
    <row r="43" spans="1:16" s="15" customFormat="1" ht="10.5">
      <c r="A43" s="14" t="s">
        <v>69</v>
      </c>
      <c r="B43" s="15">
        <f t="shared" ref="B43:P43" si="4">-(B42+B36)</f>
        <v>4207930</v>
      </c>
      <c r="C43" s="15">
        <f t="shared" si="4"/>
        <v>5536614</v>
      </c>
      <c r="D43" s="15">
        <f t="shared" si="4"/>
        <v>6355504</v>
      </c>
      <c r="E43" s="15">
        <f t="shared" si="4"/>
        <v>8519964</v>
      </c>
      <c r="F43" s="15">
        <f t="shared" si="4"/>
        <v>9675150</v>
      </c>
      <c r="G43" s="15">
        <f t="shared" si="4"/>
        <v>11792598</v>
      </c>
      <c r="H43" s="15">
        <f t="shared" si="4"/>
        <v>15357844</v>
      </c>
      <c r="I43" s="15">
        <f t="shared" si="4"/>
        <v>17850186</v>
      </c>
      <c r="J43" s="15">
        <f t="shared" si="4"/>
        <v>21744372</v>
      </c>
      <c r="K43" s="15">
        <f t="shared" si="4"/>
        <v>27228850</v>
      </c>
      <c r="L43" s="15">
        <f t="shared" si="4"/>
        <v>31336328</v>
      </c>
      <c r="M43" s="15">
        <f t="shared" si="4"/>
        <v>35149814</v>
      </c>
      <c r="N43" s="15">
        <f t="shared" si="4"/>
        <v>41100944</v>
      </c>
      <c r="O43" s="15">
        <f t="shared" si="4"/>
        <v>10186488</v>
      </c>
      <c r="P43" s="15">
        <f t="shared" si="4"/>
        <v>380648</v>
      </c>
    </row>
    <row r="44" spans="1:16" s="14" customFormat="1" ht="10.5">
      <c r="A44" s="14" t="s">
        <v>28</v>
      </c>
      <c r="B44" s="14">
        <f t="shared" ref="B44:P44" si="5">B43-B24</f>
        <v>2223438</v>
      </c>
      <c r="C44" s="14">
        <f t="shared" si="5"/>
        <v>3150718</v>
      </c>
      <c r="D44" s="14">
        <f t="shared" si="5"/>
        <v>3195133</v>
      </c>
      <c r="E44" s="14">
        <f t="shared" si="5"/>
        <v>5132639</v>
      </c>
      <c r="F44" s="14">
        <f t="shared" si="5"/>
        <v>5949406</v>
      </c>
      <c r="G44" s="14">
        <f t="shared" si="5"/>
        <v>7293676</v>
      </c>
      <c r="H44" s="14">
        <f t="shared" si="5"/>
        <v>9758954</v>
      </c>
      <c r="I44" s="14">
        <f t="shared" si="5"/>
        <v>10160883</v>
      </c>
      <c r="J44" s="14">
        <f t="shared" si="5"/>
        <v>12895705</v>
      </c>
      <c r="K44" s="14">
        <f t="shared" si="5"/>
        <v>17730592</v>
      </c>
      <c r="L44" s="14">
        <f t="shared" si="5"/>
        <v>19736892</v>
      </c>
      <c r="M44" s="14">
        <f t="shared" si="5"/>
        <v>20870442</v>
      </c>
      <c r="N44" s="14">
        <f t="shared" si="5"/>
        <v>24583429</v>
      </c>
      <c r="O44" s="14">
        <f t="shared" si="5"/>
        <v>3350821</v>
      </c>
      <c r="P44" s="14">
        <f t="shared" si="5"/>
        <v>-19043565</v>
      </c>
    </row>
    <row r="45" spans="1:16" s="15" customFormat="1" ht="10.5">
      <c r="A45" s="14"/>
    </row>
    <row r="46" spans="1:16" s="14" customFormat="1" ht="10.5"/>
    <row r="47" spans="1:16" s="14" customFormat="1" ht="10.5"/>
    <row r="48" spans="1:16" s="27" customFormat="1">
      <c r="A48" s="27" t="s">
        <v>35</v>
      </c>
      <c r="B48" s="27">
        <v>1967</v>
      </c>
      <c r="C48" s="27">
        <v>1968</v>
      </c>
      <c r="D48" s="27">
        <v>1969</v>
      </c>
      <c r="E48" s="27">
        <v>1970</v>
      </c>
      <c r="F48" s="27">
        <v>1971</v>
      </c>
      <c r="G48" s="27">
        <v>1972</v>
      </c>
      <c r="H48" s="27">
        <v>1973</v>
      </c>
      <c r="I48" s="27">
        <v>1974</v>
      </c>
      <c r="J48" s="27">
        <v>1975</v>
      </c>
      <c r="K48" s="27">
        <v>1976</v>
      </c>
      <c r="L48" s="27">
        <v>1977</v>
      </c>
      <c r="M48" s="27">
        <v>1978</v>
      </c>
      <c r="N48" s="27">
        <v>1979</v>
      </c>
      <c r="O48" s="27">
        <v>1980</v>
      </c>
      <c r="P48" s="27" t="s">
        <v>19</v>
      </c>
    </row>
    <row r="49" spans="1:16" s="20" customFormat="1">
      <c r="A49" s="19" t="s">
        <v>21</v>
      </c>
      <c r="M49" s="20" t="s">
        <v>60</v>
      </c>
      <c r="O49" s="20" t="s">
        <v>64</v>
      </c>
    </row>
    <row r="50" spans="1:16" s="23" customFormat="1" ht="10.5">
      <c r="A50" s="24" t="s">
        <v>36</v>
      </c>
      <c r="B50" s="22">
        <f>B44</f>
        <v>2223438</v>
      </c>
      <c r="C50" s="22">
        <f t="shared" ref="C50:P50" si="6">C44</f>
        <v>3150718</v>
      </c>
      <c r="D50" s="22">
        <f t="shared" si="6"/>
        <v>3195133</v>
      </c>
      <c r="E50" s="22">
        <f t="shared" si="6"/>
        <v>5132639</v>
      </c>
      <c r="F50" s="22">
        <f t="shared" si="6"/>
        <v>5949406</v>
      </c>
      <c r="G50" s="22">
        <f t="shared" si="6"/>
        <v>7293676</v>
      </c>
      <c r="H50" s="22">
        <f t="shared" si="6"/>
        <v>9758954</v>
      </c>
      <c r="I50" s="22">
        <f t="shared" si="6"/>
        <v>10160883</v>
      </c>
      <c r="J50" s="22">
        <f t="shared" si="6"/>
        <v>12895705</v>
      </c>
      <c r="K50" s="22">
        <f t="shared" si="6"/>
        <v>17730592</v>
      </c>
      <c r="L50" s="22">
        <f t="shared" si="6"/>
        <v>19736892</v>
      </c>
      <c r="M50" s="22">
        <f t="shared" si="6"/>
        <v>20870442</v>
      </c>
      <c r="N50" s="22">
        <f t="shared" si="6"/>
        <v>24583429</v>
      </c>
      <c r="O50" s="22">
        <f t="shared" si="6"/>
        <v>3350821</v>
      </c>
      <c r="P50" s="22">
        <f t="shared" si="6"/>
        <v>-19043565</v>
      </c>
    </row>
    <row r="51" spans="1:16" s="23" customFormat="1" ht="10.5">
      <c r="A51" s="21" t="s">
        <v>3</v>
      </c>
      <c r="B51" s="22">
        <f t="shared" ref="B51:P51" si="7">B44*0.75</f>
        <v>1667578.5</v>
      </c>
      <c r="C51" s="22">
        <f t="shared" si="7"/>
        <v>2363038.5</v>
      </c>
      <c r="D51" s="22">
        <f t="shared" si="7"/>
        <v>2396349.75</v>
      </c>
      <c r="E51" s="22">
        <f t="shared" si="7"/>
        <v>3849479.25</v>
      </c>
      <c r="F51" s="22">
        <f t="shared" si="7"/>
        <v>4462054.5</v>
      </c>
      <c r="G51" s="22">
        <f t="shared" si="7"/>
        <v>5470257</v>
      </c>
      <c r="H51" s="22">
        <f t="shared" si="7"/>
        <v>7319215.5</v>
      </c>
      <c r="I51" s="22">
        <f t="shared" si="7"/>
        <v>7620662.25</v>
      </c>
      <c r="J51" s="22">
        <f t="shared" si="7"/>
        <v>9671778.75</v>
      </c>
      <c r="K51" s="22">
        <f t="shared" si="7"/>
        <v>13297944</v>
      </c>
      <c r="L51" s="22">
        <f t="shared" si="7"/>
        <v>14802669</v>
      </c>
      <c r="M51" s="22">
        <f t="shared" si="7"/>
        <v>15652831.5</v>
      </c>
      <c r="N51" s="22">
        <f t="shared" si="7"/>
        <v>18437571.75</v>
      </c>
      <c r="O51" s="22">
        <f t="shared" si="7"/>
        <v>2513115.75</v>
      </c>
      <c r="P51" s="22">
        <f t="shared" si="7"/>
        <v>-14282673.75</v>
      </c>
    </row>
    <row r="52" spans="1:16" s="23" customFormat="1" ht="10.5">
      <c r="A52" s="21" t="s">
        <v>4</v>
      </c>
      <c r="B52" s="22">
        <v>0</v>
      </c>
      <c r="C52" s="22">
        <f>B50*0.25</f>
        <v>555859.5</v>
      </c>
      <c r="D52" s="22">
        <f>C50*0.25</f>
        <v>787679.5</v>
      </c>
      <c r="E52" s="22">
        <f>D50*0.25</f>
        <v>798783.25</v>
      </c>
      <c r="F52" s="22">
        <f t="shared" ref="F52:P52" si="8">E50*0.25</f>
        <v>1283159.75</v>
      </c>
      <c r="G52" s="22">
        <f t="shared" si="8"/>
        <v>1487351.5</v>
      </c>
      <c r="H52" s="22">
        <f t="shared" si="8"/>
        <v>1823419</v>
      </c>
      <c r="I52" s="22">
        <f t="shared" si="8"/>
        <v>2439738.5</v>
      </c>
      <c r="J52" s="22">
        <f t="shared" si="8"/>
        <v>2540220.75</v>
      </c>
      <c r="K52" s="22">
        <f t="shared" si="8"/>
        <v>3223926.25</v>
      </c>
      <c r="L52" s="22">
        <f t="shared" si="8"/>
        <v>4432648</v>
      </c>
      <c r="M52" s="22">
        <f t="shared" si="8"/>
        <v>4934223</v>
      </c>
      <c r="N52" s="22">
        <f t="shared" si="8"/>
        <v>5217610.5</v>
      </c>
      <c r="O52" s="22">
        <f t="shared" si="8"/>
        <v>6145857.25</v>
      </c>
      <c r="P52" s="22">
        <f t="shared" si="8"/>
        <v>837705.25</v>
      </c>
    </row>
    <row r="53" spans="1:16" s="22" customFormat="1" ht="10.5">
      <c r="A53" s="24" t="s">
        <v>27</v>
      </c>
    </row>
    <row r="54" spans="1:16" s="22" customFormat="1" ht="10.5">
      <c r="A54" s="22" t="s">
        <v>38</v>
      </c>
      <c r="C54" s="22">
        <f>B59*0.45*(1+C62)+C52*0.45*(1+C62*0.75)</f>
        <v>1211130.997453125</v>
      </c>
      <c r="D54" s="22">
        <f t="shared" ref="D54:P54" si="9">C59*0.45*(1+D62)+D52*0.45*(1+D62*0.75)</f>
        <v>2511255.9722546968</v>
      </c>
      <c r="E54" s="22">
        <f t="shared" si="9"/>
        <v>3801414.4464791948</v>
      </c>
      <c r="F54" s="22">
        <f t="shared" si="9"/>
        <v>6957338.4421706414</v>
      </c>
      <c r="G54" s="22">
        <f t="shared" si="9"/>
        <v>12337470.204386411</v>
      </c>
      <c r="H54" s="22">
        <f t="shared" si="9"/>
        <v>14555069.798452646</v>
      </c>
      <c r="I54" s="22">
        <f t="shared" si="9"/>
        <v>14092460.732190609</v>
      </c>
      <c r="J54" s="22">
        <f t="shared" si="9"/>
        <v>24752153.514289256</v>
      </c>
      <c r="K54" s="22">
        <f t="shared" si="9"/>
        <v>33177696.14948912</v>
      </c>
      <c r="L54" s="22">
        <f t="shared" si="9"/>
        <v>46649979.796925113</v>
      </c>
      <c r="M54" s="22">
        <f t="shared" si="9"/>
        <v>70624249.073127151</v>
      </c>
      <c r="N54" s="22">
        <f t="shared" si="9"/>
        <v>105525129.1398917</v>
      </c>
      <c r="O54" s="22">
        <f t="shared" si="9"/>
        <v>131259158.33719507</v>
      </c>
      <c r="P54" s="22">
        <f t="shared" si="9"/>
        <v>109196519.28392436</v>
      </c>
    </row>
    <row r="55" spans="1:16" s="22" customFormat="1" ht="12.95" customHeight="1">
      <c r="A55" s="22" t="s">
        <v>37</v>
      </c>
      <c r="C55" s="22">
        <f>B59*0.24*(1+C63)+C52*0.24*(1+C63*0.75)</f>
        <v>529622.93160000001</v>
      </c>
      <c r="D55" s="22">
        <f t="shared" ref="D55:P55" si="10">C59*0.24*(1+D63)+D52*0.24*(1+D63*0.75)</f>
        <v>1323704.9942063391</v>
      </c>
      <c r="E55" s="22">
        <f t="shared" si="10"/>
        <v>2551905.8748097108</v>
      </c>
      <c r="F55" s="22">
        <f t="shared" si="10"/>
        <v>3829670.5112672159</v>
      </c>
      <c r="G55" s="22">
        <f t="shared" si="10"/>
        <v>5241376.642297891</v>
      </c>
      <c r="H55" s="22">
        <f t="shared" si="10"/>
        <v>7872614.6355380109</v>
      </c>
      <c r="I55" s="22">
        <f t="shared" si="10"/>
        <v>9927737.8889674358</v>
      </c>
      <c r="J55" s="22">
        <f t="shared" si="10"/>
        <v>11476442.305854302</v>
      </c>
      <c r="K55" s="22">
        <f t="shared" si="10"/>
        <v>18955901.577311929</v>
      </c>
      <c r="L55" s="22">
        <f t="shared" si="10"/>
        <v>23826150.332104437</v>
      </c>
      <c r="M55" s="22">
        <f t="shared" si="10"/>
        <v>29476047.627113458</v>
      </c>
      <c r="N55" s="22">
        <f t="shared" si="10"/>
        <v>37959445.055640772</v>
      </c>
      <c r="O55" s="22">
        <f t="shared" si="10"/>
        <v>54983857.368713222</v>
      </c>
      <c r="P55" s="22">
        <f t="shared" si="10"/>
        <v>62925590.769305944</v>
      </c>
    </row>
    <row r="56" spans="1:16" s="22" customFormat="1" ht="10.5">
      <c r="A56" s="22" t="s">
        <v>31</v>
      </c>
      <c r="C56" s="22">
        <f>B59*0.09*(1+C64)+C52*0.09*(1+C64*0.75)</f>
        <v>205681.21666312503</v>
      </c>
      <c r="D56" s="22">
        <f t="shared" ref="D56:P56" si="11">C59*0.09*(1+D64)+D52*0.09*(1+D64*0.75)</f>
        <v>490820.6422849932</v>
      </c>
      <c r="E56" s="22">
        <f t="shared" si="11"/>
        <v>879138.74856865592</v>
      </c>
      <c r="F56" s="22">
        <f t="shared" si="11"/>
        <v>1465772.789248944</v>
      </c>
      <c r="G56" s="22">
        <f t="shared" si="11"/>
        <v>2114752.8841095814</v>
      </c>
      <c r="H56" s="22">
        <f t="shared" si="11"/>
        <v>3099923.0492732301</v>
      </c>
      <c r="I56" s="22">
        <f t="shared" si="11"/>
        <v>3953854.4801579076</v>
      </c>
      <c r="J56" s="22">
        <f t="shared" si="11"/>
        <v>4691063.9606062258</v>
      </c>
      <c r="K56" s="22">
        <f t="shared" si="11"/>
        <v>6824117.6197084906</v>
      </c>
      <c r="L56" s="22">
        <f t="shared" si="11"/>
        <v>9655985.6802177858</v>
      </c>
      <c r="M56" s="22">
        <f t="shared" si="11"/>
        <v>11653091.984235127</v>
      </c>
      <c r="N56" s="22">
        <f t="shared" si="11"/>
        <v>15435161.951950882</v>
      </c>
      <c r="O56" s="22">
        <f t="shared" si="11"/>
        <v>21831010.151714068</v>
      </c>
      <c r="P56" s="22">
        <f t="shared" si="11"/>
        <v>26757719.617627099</v>
      </c>
    </row>
    <row r="57" spans="1:16" s="22" customFormat="1" ht="10.5">
      <c r="A57" s="22" t="s">
        <v>32</v>
      </c>
      <c r="C57" s="22">
        <f>B59*0.11*(1+C65)+C52*0.11*(1+C65*0.75)</f>
        <v>259413.37523062501</v>
      </c>
      <c r="D57" s="22">
        <f t="shared" ref="D57:P57" si="12">C59*0.11*(1+D65)+D52*0.11*(1+D65*0.75)</f>
        <v>663058.45173259906</v>
      </c>
      <c r="E57" s="22">
        <f t="shared" si="12"/>
        <v>1024637.510515942</v>
      </c>
      <c r="F57" s="22">
        <f t="shared" si="12"/>
        <v>1635614.9547976498</v>
      </c>
      <c r="G57" s="22">
        <f t="shared" si="12"/>
        <v>2460217.3265077737</v>
      </c>
      <c r="H57" s="22">
        <f t="shared" si="12"/>
        <v>3739468.5757206874</v>
      </c>
      <c r="I57" s="22">
        <f t="shared" si="12"/>
        <v>5002583.8050745958</v>
      </c>
      <c r="J57" s="22">
        <f t="shared" si="12"/>
        <v>5499303.2532582339</v>
      </c>
      <c r="K57" s="22">
        <f t="shared" si="12"/>
        <v>7995944.9377291966</v>
      </c>
      <c r="L57" s="22">
        <f t="shared" si="12"/>
        <v>11112911.294829288</v>
      </c>
      <c r="M57" s="22">
        <f t="shared" si="12"/>
        <v>14518628.123120481</v>
      </c>
      <c r="N57" s="22">
        <f t="shared" si="12"/>
        <v>20084253.306873906</v>
      </c>
      <c r="O57" s="22">
        <f t="shared" si="12"/>
        <v>28060744.823558714</v>
      </c>
      <c r="P57" s="22">
        <f t="shared" si="12"/>
        <v>35794266.543367423</v>
      </c>
    </row>
    <row r="58" spans="1:16" s="22" customFormat="1" ht="10.5">
      <c r="A58" s="22" t="s">
        <v>39</v>
      </c>
      <c r="C58" s="22">
        <f>B59*0.11*(1+C66)+C52*0.11*(1+C66*0.75)</f>
        <v>267965.96846250002</v>
      </c>
      <c r="D58" s="22">
        <f t="shared" ref="D58:P58" si="13">C59*0.11*(1+D66)+D52*0.11*(1+D66*0.75)</f>
        <v>568965.35944919812</v>
      </c>
      <c r="E58" s="22">
        <f t="shared" si="13"/>
        <v>948239.94754639664</v>
      </c>
      <c r="F58" s="22">
        <f t="shared" si="13"/>
        <v>1765596.3167776135</v>
      </c>
      <c r="G58" s="22">
        <f t="shared" si="13"/>
        <v>2811238.726823193</v>
      </c>
      <c r="H58" s="22">
        <f t="shared" si="13"/>
        <v>3040155.1126173162</v>
      </c>
      <c r="I58" s="22">
        <f t="shared" si="13"/>
        <v>3386909.3525218796</v>
      </c>
      <c r="J58" s="22">
        <f t="shared" si="13"/>
        <v>7175183.1943462156</v>
      </c>
      <c r="K58" s="22">
        <f t="shared" si="13"/>
        <v>9060943.2004913557</v>
      </c>
      <c r="L58" s="22">
        <f t="shared" si="13"/>
        <v>10286496.31911201</v>
      </c>
      <c r="M58" s="22">
        <f t="shared" si="13"/>
        <v>15242198.257230463</v>
      </c>
      <c r="N58" s="22">
        <f t="shared" si="13"/>
        <v>20918810.105126653</v>
      </c>
      <c r="O58" s="22">
        <f t="shared" si="13"/>
        <v>33375675.093914069</v>
      </c>
      <c r="P58" s="22">
        <f t="shared" si="13"/>
        <v>27982124.763403885</v>
      </c>
    </row>
    <row r="59" spans="1:16" s="24" customFormat="1" ht="10.5">
      <c r="A59" s="24" t="s">
        <v>17</v>
      </c>
      <c r="B59" s="24">
        <f>B51</f>
        <v>1667578.5</v>
      </c>
      <c r="C59" s="24">
        <f>SUM(C54:C58)+C51</f>
        <v>4836852.989409375</v>
      </c>
      <c r="D59" s="24">
        <f t="shared" ref="D59:P59" si="14">SUM(D54:D58)+D51</f>
        <v>7954155.1699278271</v>
      </c>
      <c r="E59" s="24">
        <f t="shared" si="14"/>
        <v>13054815.777919902</v>
      </c>
      <c r="F59" s="24">
        <f t="shared" si="14"/>
        <v>20116047.514262065</v>
      </c>
      <c r="G59" s="24">
        <f t="shared" si="14"/>
        <v>30435312.784124851</v>
      </c>
      <c r="H59" s="24">
        <f t="shared" si="14"/>
        <v>39626446.671601892</v>
      </c>
      <c r="I59" s="24">
        <f t="shared" si="14"/>
        <v>43984208.508912429</v>
      </c>
      <c r="J59" s="24">
        <f t="shared" si="14"/>
        <v>63265924.978354231</v>
      </c>
      <c r="K59" s="24">
        <f t="shared" si="14"/>
        <v>89312547.484730095</v>
      </c>
      <c r="L59" s="24">
        <f t="shared" si="14"/>
        <v>116334192.42318863</v>
      </c>
      <c r="M59" s="24">
        <f t="shared" si="14"/>
        <v>157167046.5648267</v>
      </c>
      <c r="N59" s="24">
        <f t="shared" si="14"/>
        <v>218360371.30948392</v>
      </c>
      <c r="O59" s="24">
        <f>SUM(O54:O58)</f>
        <v>269510445.77509516</v>
      </c>
      <c r="P59" s="24">
        <f t="shared" si="14"/>
        <v>248373547.22762868</v>
      </c>
    </row>
    <row r="60" spans="1:16" s="15" customFormat="1" ht="12" customHeight="1">
      <c r="C60" s="29"/>
      <c r="D60" s="13"/>
      <c r="O60" s="14" t="s">
        <v>20</v>
      </c>
    </row>
    <row r="61" spans="1:16" s="14" customFormat="1">
      <c r="A61" s="16" t="s">
        <v>34</v>
      </c>
      <c r="B61" s="16">
        <v>1967</v>
      </c>
      <c r="C61" s="16">
        <v>1968</v>
      </c>
      <c r="D61" s="16">
        <v>1969</v>
      </c>
      <c r="E61" s="16">
        <v>1970</v>
      </c>
      <c r="F61" s="16">
        <v>1971</v>
      </c>
      <c r="G61" s="16">
        <v>1972</v>
      </c>
      <c r="H61" s="16">
        <v>1973</v>
      </c>
      <c r="I61" s="16">
        <v>1974</v>
      </c>
      <c r="J61" s="16">
        <v>1975</v>
      </c>
      <c r="K61" s="1">
        <v>1976</v>
      </c>
      <c r="L61" s="1">
        <v>1977</v>
      </c>
      <c r="M61" s="1">
        <v>1978</v>
      </c>
      <c r="N61" s="1">
        <v>1979</v>
      </c>
      <c r="O61" s="1">
        <v>1980</v>
      </c>
      <c r="P61" s="1">
        <v>1981</v>
      </c>
    </row>
    <row r="62" spans="1:16" s="15" customFormat="1">
      <c r="A62" s="16" t="s">
        <v>72</v>
      </c>
      <c r="B62" s="10">
        <v>0.18090000000000001</v>
      </c>
      <c r="C62" s="10">
        <v>0.22450000000000001</v>
      </c>
      <c r="D62" s="10">
        <v>-8.1000000000000013E-3</v>
      </c>
      <c r="E62" s="10">
        <v>-3.5700000000000003E-2</v>
      </c>
      <c r="F62" s="10">
        <v>8.0100000000000005E-2</v>
      </c>
      <c r="G62" s="10">
        <v>0.27379999999999999</v>
      </c>
      <c r="H62" s="10">
        <v>2.7000000000000001E-3</v>
      </c>
      <c r="I62" s="10">
        <v>-0.25929999999999997</v>
      </c>
      <c r="J62" s="10">
        <v>0.18480000000000002</v>
      </c>
      <c r="K62">
        <v>0.11019999999999999</v>
      </c>
      <c r="L62">
        <v>0.10710000000000001</v>
      </c>
      <c r="M62">
        <v>0.29720000000000002</v>
      </c>
      <c r="N62">
        <v>0.44770000000000004</v>
      </c>
      <c r="O62">
        <v>0.30130000000000001</v>
      </c>
      <c r="P62">
        <v>-0.10250000000000001</v>
      </c>
    </row>
    <row r="63" spans="1:16" s="15" customFormat="1">
      <c r="A63" s="16" t="s">
        <v>73</v>
      </c>
      <c r="B63" s="10">
        <v>-2.2000000000000002E-2</v>
      </c>
      <c r="C63" s="10">
        <v>-8.0000000000000002E-3</v>
      </c>
      <c r="D63" s="10">
        <v>-2.01E-2</v>
      </c>
      <c r="E63" s="10">
        <v>0.2198</v>
      </c>
      <c r="F63" s="10">
        <v>0.11550000000000001</v>
      </c>
      <c r="G63" s="10">
        <v>1.11E-2</v>
      </c>
      <c r="H63" s="10">
        <v>1.7100000000000001E-2</v>
      </c>
      <c r="I63" s="10">
        <v>-1.6899999999999998E-2</v>
      </c>
      <c r="J63" s="10">
        <v>2.8199999999999999E-2</v>
      </c>
      <c r="K63">
        <v>0.19020000000000001</v>
      </c>
      <c r="L63">
        <v>5.9699999999999996E-2</v>
      </c>
      <c r="M63">
        <v>1.29E-2</v>
      </c>
      <c r="N63">
        <v>-2.6200000000000001E-2</v>
      </c>
      <c r="O63">
        <v>2.06E-2</v>
      </c>
      <c r="P63">
        <v>-3.0200000000000001E-2</v>
      </c>
    </row>
    <row r="64" spans="1:16" s="15" customFormat="1">
      <c r="A64" s="16" t="s">
        <v>74</v>
      </c>
      <c r="B64" s="10">
        <v>2.2100000000000002E-2</v>
      </c>
      <c r="C64" s="10">
        <v>2.9700000000000004E-2</v>
      </c>
      <c r="D64" s="10">
        <v>-3.15E-2</v>
      </c>
      <c r="E64" s="10">
        <v>0.1187</v>
      </c>
      <c r="F64" s="10">
        <v>0.13900000000000001</v>
      </c>
      <c r="G64" s="10">
        <v>8.9200000000000002E-2</v>
      </c>
      <c r="H64" s="10">
        <v>6.8699999999999997E-2</v>
      </c>
      <c r="I64" s="10">
        <v>4.4999999999999998E-2</v>
      </c>
      <c r="J64" s="10">
        <v>0.122</v>
      </c>
      <c r="K64">
        <v>0.1421</v>
      </c>
      <c r="L64">
        <v>0.1462</v>
      </c>
      <c r="M64">
        <v>6.8400000000000002E-2</v>
      </c>
      <c r="N64">
        <v>5.6600000000000004E-2</v>
      </c>
      <c r="O64">
        <v>8.1000000000000003E-2</v>
      </c>
      <c r="P64">
        <v>9.98E-2</v>
      </c>
    </row>
    <row r="65" spans="1:16" s="15" customFormat="1">
      <c r="A65" s="16" t="s">
        <v>75</v>
      </c>
      <c r="B65" s="10">
        <v>4.6200000000000005E-2</v>
      </c>
      <c r="C65" s="10">
        <v>6.4699999999999994E-2</v>
      </c>
      <c r="D65" s="10">
        <v>7.4300000000000005E-2</v>
      </c>
      <c r="E65" s="10">
        <v>6.5700000000000008E-2</v>
      </c>
      <c r="F65" s="10">
        <v>3.7900000000000003E-2</v>
      </c>
      <c r="G65" s="10">
        <v>3.5900000000000001E-2</v>
      </c>
      <c r="H65" s="10">
        <v>5.4600000000000003E-2</v>
      </c>
      <c r="I65" s="10">
        <v>8.2300000000000012E-2</v>
      </c>
      <c r="J65" s="10">
        <v>7.5600000000000001E-2</v>
      </c>
      <c r="K65">
        <v>9.4399999999999998E-2</v>
      </c>
      <c r="L65">
        <v>7.8600000000000003E-2</v>
      </c>
      <c r="M65">
        <v>8.9300000000000004E-2</v>
      </c>
      <c r="N65">
        <v>0.12539999999999998</v>
      </c>
      <c r="O65">
        <v>0.13720000000000002</v>
      </c>
      <c r="P65">
        <v>0.20379999999999998</v>
      </c>
    </row>
    <row r="66" spans="1:16" s="15" customFormat="1">
      <c r="A66" s="16" t="s">
        <v>76</v>
      </c>
      <c r="B66" s="10">
        <v>0.2356</v>
      </c>
      <c r="C66" s="10">
        <v>0.10199999999999999</v>
      </c>
      <c r="D66" s="10">
        <v>-8.3299999999999999E-2</v>
      </c>
      <c r="E66" s="10">
        <v>-1.5500000000000002E-2</v>
      </c>
      <c r="F66" s="10">
        <v>0.1222</v>
      </c>
      <c r="G66" s="10">
        <v>0.1862</v>
      </c>
      <c r="H66" s="10">
        <v>-0.14529999999999998</v>
      </c>
      <c r="I66" s="10">
        <v>-0.27200000000000002</v>
      </c>
      <c r="J66" s="10">
        <v>0.40759999999999996</v>
      </c>
      <c r="K66">
        <v>0.24180000000000001</v>
      </c>
      <c r="L66">
        <v>-2.5000000000000001E-3</v>
      </c>
      <c r="M66">
        <v>0.14410000000000001</v>
      </c>
      <c r="N66">
        <v>0.17250000000000001</v>
      </c>
      <c r="O66">
        <v>0.35389999999999999</v>
      </c>
      <c r="P66">
        <v>-5.91E-2</v>
      </c>
    </row>
    <row r="67" spans="1:16" s="15" customFormat="1" ht="10.5"/>
    <row r="68" spans="1:16" s="15" customFormat="1" ht="10.5">
      <c r="A68" s="10"/>
      <c r="B68" s="10"/>
      <c r="C68" s="10"/>
      <c r="D68" s="10"/>
      <c r="E68" s="10"/>
      <c r="F68" s="10"/>
    </row>
    <row r="69" spans="1:16" s="1" customFormat="1">
      <c r="A69" s="1" t="s">
        <v>23</v>
      </c>
      <c r="B69" s="1" t="s">
        <v>139</v>
      </c>
      <c r="C69" s="1" t="s">
        <v>109</v>
      </c>
      <c r="D69" s="1" t="s">
        <v>110</v>
      </c>
      <c r="E69" s="1" t="s">
        <v>92</v>
      </c>
      <c r="F69" s="1" t="s">
        <v>111</v>
      </c>
      <c r="G69" s="1" t="s">
        <v>112</v>
      </c>
      <c r="H69" s="1" t="s">
        <v>113</v>
      </c>
      <c r="I69" s="1" t="s">
        <v>114</v>
      </c>
      <c r="J69" s="1" t="s">
        <v>98</v>
      </c>
      <c r="K69" s="1" t="s">
        <v>100</v>
      </c>
      <c r="L69" s="1" t="s">
        <v>102</v>
      </c>
      <c r="M69" s="1" t="s">
        <v>115</v>
      </c>
      <c r="N69" s="1" t="s">
        <v>105</v>
      </c>
      <c r="O69" s="1" t="s">
        <v>107</v>
      </c>
      <c r="P69" s="1" t="s">
        <v>108</v>
      </c>
    </row>
    <row r="70" spans="1:16" s="20" customFormat="1">
      <c r="A70" s="19" t="s">
        <v>25</v>
      </c>
      <c r="M70" s="20" t="s">
        <v>60</v>
      </c>
      <c r="O70" s="20" t="s">
        <v>64</v>
      </c>
    </row>
    <row r="71" spans="1:16" s="23" customFormat="1" ht="10.5">
      <c r="A71" s="24" t="s">
        <v>36</v>
      </c>
      <c r="B71" s="22">
        <f>B44</f>
        <v>2223438</v>
      </c>
      <c r="C71" s="22">
        <f t="shared" ref="C71:P71" si="15">C44</f>
        <v>3150718</v>
      </c>
      <c r="D71" s="22">
        <f t="shared" si="15"/>
        <v>3195133</v>
      </c>
      <c r="E71" s="22">
        <f t="shared" si="15"/>
        <v>5132639</v>
      </c>
      <c r="F71" s="22">
        <f t="shared" si="15"/>
        <v>5949406</v>
      </c>
      <c r="G71" s="22">
        <f t="shared" si="15"/>
        <v>7293676</v>
      </c>
      <c r="H71" s="22">
        <f t="shared" si="15"/>
        <v>9758954</v>
      </c>
      <c r="I71" s="22">
        <f t="shared" si="15"/>
        <v>10160883</v>
      </c>
      <c r="J71" s="22">
        <f t="shared" si="15"/>
        <v>12895705</v>
      </c>
      <c r="K71" s="22">
        <f t="shared" si="15"/>
        <v>17730592</v>
      </c>
      <c r="L71" s="22">
        <f t="shared" si="15"/>
        <v>19736892</v>
      </c>
      <c r="M71" s="22">
        <f t="shared" si="15"/>
        <v>20870442</v>
      </c>
      <c r="N71" s="22">
        <f t="shared" si="15"/>
        <v>24583429</v>
      </c>
      <c r="O71" s="22">
        <f t="shared" si="15"/>
        <v>3350821</v>
      </c>
      <c r="P71" s="22">
        <f t="shared" si="15"/>
        <v>-19043565</v>
      </c>
    </row>
    <row r="72" spans="1:16" s="22" customFormat="1" ht="10.5">
      <c r="A72" s="24" t="s">
        <v>27</v>
      </c>
    </row>
    <row r="73" spans="1:16" s="22" customFormat="1" ht="10.5">
      <c r="A73" s="22" t="s">
        <v>38</v>
      </c>
      <c r="C73" s="22">
        <f>(B78*0.45*(1+C62*0.75))*(1+D62*0.25)</f>
        <v>1166646.9641711258</v>
      </c>
      <c r="D73" s="22">
        <f t="shared" ref="D73:P73" si="16">(C78*0.45*(1+D62*0.75))*(1+E62*0.25)</f>
        <v>2467750.2923788549</v>
      </c>
      <c r="E73" s="22">
        <f t="shared" si="16"/>
        <v>3923952.7393998876</v>
      </c>
      <c r="F73" s="22">
        <f t="shared" si="16"/>
        <v>7381091.094066482</v>
      </c>
      <c r="G73" s="22">
        <f t="shared" si="16"/>
        <v>11974585.566816116</v>
      </c>
      <c r="H73" s="22">
        <f t="shared" si="16"/>
        <v>13483751.054977294</v>
      </c>
      <c r="I73" s="22">
        <f t="shared" si="16"/>
        <v>15434964.887504442</v>
      </c>
      <c r="J73" s="22">
        <f t="shared" si="16"/>
        <v>25261008.688211706</v>
      </c>
      <c r="K73" s="22">
        <f t="shared" si="16"/>
        <v>34202247.347690031</v>
      </c>
      <c r="L73" s="22">
        <f t="shared" si="16"/>
        <v>49673797.880644046</v>
      </c>
      <c r="M73" s="22">
        <f t="shared" si="16"/>
        <v>76574696.169423789</v>
      </c>
      <c r="N73" s="22">
        <f t="shared" si="16"/>
        <v>110297034.70757899</v>
      </c>
      <c r="O73" s="22">
        <f t="shared" si="16"/>
        <v>126799709.07327013</v>
      </c>
      <c r="P73" s="22">
        <f t="shared" si="16"/>
        <v>111892942.80188785</v>
      </c>
    </row>
    <row r="74" spans="1:16" s="22" customFormat="1" ht="12.95" customHeight="1">
      <c r="A74" s="22" t="s">
        <v>37</v>
      </c>
      <c r="C74" s="22">
        <f>(B78*0.24*(1+C63*0.75))*(1+D63*0.25)</f>
        <v>527757.99184936797</v>
      </c>
      <c r="D74" s="22">
        <f t="shared" ref="D74:P74" si="17">(C78*0.24*(1+D63*0.75))*(1+E63*0.25)</f>
        <v>1388272.8870267784</v>
      </c>
      <c r="E74" s="22">
        <f t="shared" si="17"/>
        <v>2526568.2954999073</v>
      </c>
      <c r="F74" s="22">
        <f t="shared" si="17"/>
        <v>3787142.8590571419</v>
      </c>
      <c r="G74" s="22">
        <f t="shared" si="17"/>
        <v>5361745.3552182093</v>
      </c>
      <c r="H74" s="22">
        <f t="shared" si="17"/>
        <v>7739869.5242013549</v>
      </c>
      <c r="I74" s="22">
        <f t="shared" si="17"/>
        <v>9712293.5929013845</v>
      </c>
      <c r="J74" s="22">
        <f t="shared" si="17"/>
        <v>12317982.307476761</v>
      </c>
      <c r="K74" s="22">
        <f t="shared" si="17"/>
        <v>19029929.508813668</v>
      </c>
      <c r="L74" s="22">
        <f t="shared" si="17"/>
        <v>23925840.865737855</v>
      </c>
      <c r="M74" s="22">
        <f t="shared" si="17"/>
        <v>30126257.760408774</v>
      </c>
      <c r="N74" s="22">
        <f t="shared" si="17"/>
        <v>40355389.28525959</v>
      </c>
      <c r="O74" s="22">
        <f t="shared" si="17"/>
        <v>57052728.410163537</v>
      </c>
      <c r="P74" s="22">
        <f t="shared" si="17"/>
        <v>63181659.48485855</v>
      </c>
    </row>
    <row r="75" spans="1:16" s="22" customFormat="1" ht="10.5">
      <c r="A75" s="22" t="s">
        <v>31</v>
      </c>
      <c r="C75" s="22">
        <f>(B78*0.09*(1+C64*0.75))*(1+D64*0.25)</f>
        <v>202955.89332902234</v>
      </c>
      <c r="D75" s="22">
        <f t="shared" ref="D75:P75" si="18">(C78*0.09*(1+D64*0.75))*(1+E64*0.25)</f>
        <v>503718.48828734661</v>
      </c>
      <c r="E75" s="22">
        <f t="shared" si="18"/>
        <v>890846.70064563002</v>
      </c>
      <c r="F75" s="22">
        <f t="shared" si="18"/>
        <v>1471314.5631172543</v>
      </c>
      <c r="G75" s="22">
        <f t="shared" si="18"/>
        <v>2154783.5825530249</v>
      </c>
      <c r="H75" s="22">
        <f t="shared" si="18"/>
        <v>3060183.1047310755</v>
      </c>
      <c r="I75" s="22">
        <f t="shared" si="18"/>
        <v>3902163.1281889277</v>
      </c>
      <c r="J75" s="22">
        <f t="shared" si="18"/>
        <v>4880798.3943396928</v>
      </c>
      <c r="K75" s="22">
        <f t="shared" si="18"/>
        <v>7058174.3699677354</v>
      </c>
      <c r="L75" s="22">
        <f t="shared" si="18"/>
        <v>9661110.096835006</v>
      </c>
      <c r="M75" s="22">
        <f t="shared" si="18"/>
        <v>12008194.054361781</v>
      </c>
      <c r="N75" s="22">
        <f t="shared" si="18"/>
        <v>16333626.32531107</v>
      </c>
      <c r="O75" s="22">
        <f t="shared" si="18"/>
        <v>23081085.315106805</v>
      </c>
      <c r="P75" s="22">
        <f t="shared" si="18"/>
        <v>26056737.618547685</v>
      </c>
    </row>
    <row r="76" spans="1:16" s="22" customFormat="1" ht="10.5">
      <c r="A76" s="22" t="s">
        <v>32</v>
      </c>
      <c r="C76" s="22">
        <f>(B78*0.11*(1+C65*0.75))*(1+D65*0.25)</f>
        <v>261209.82687912707</v>
      </c>
      <c r="D76" s="22">
        <f t="shared" ref="D76:P76" si="19">(C78*0.11*(1+D65*0.75))*(1+E65*0.25)</f>
        <v>657124.09541585343</v>
      </c>
      <c r="E76" s="22">
        <f t="shared" si="19"/>
        <v>1023445.5931336199</v>
      </c>
      <c r="F76" s="22">
        <f t="shared" si="19"/>
        <v>1652962.3879479079</v>
      </c>
      <c r="G76" s="22">
        <f t="shared" si="19"/>
        <v>2526161.9674705714</v>
      </c>
      <c r="H76" s="22">
        <f t="shared" si="19"/>
        <v>3736751.7524055871</v>
      </c>
      <c r="I76" s="22">
        <f t="shared" si="19"/>
        <v>4843236.5808326676</v>
      </c>
      <c r="J76" s="22">
        <f t="shared" si="19"/>
        <v>5708719.4588286793</v>
      </c>
      <c r="K76" s="22">
        <f t="shared" si="19"/>
        <v>8211659.5364437476</v>
      </c>
      <c r="L76" s="22">
        <f t="shared" si="19"/>
        <v>11326401.985079968</v>
      </c>
      <c r="M76" s="22">
        <f t="shared" si="19"/>
        <v>15148140.70669302</v>
      </c>
      <c r="N76" s="22">
        <f t="shared" si="19"/>
        <v>21240006.704127327</v>
      </c>
      <c r="O76" s="22">
        <f t="shared" si="19"/>
        <v>30075224.165686753</v>
      </c>
      <c r="P76" s="22">
        <f t="shared" si="19"/>
        <v>34158214.283023439</v>
      </c>
    </row>
    <row r="77" spans="1:16" s="22" customFormat="1" ht="10.5">
      <c r="A77" s="22" t="s">
        <v>39</v>
      </c>
      <c r="C77" s="22">
        <f>(B78*0.11*(1+C66*0.75))*(1+D66*0.25)</f>
        <v>257805.42961571476</v>
      </c>
      <c r="D77" s="22">
        <f t="shared" ref="D77:P77" si="20">(C78*0.11*(1+D66*0.75))*(1+E66*0.25)</f>
        <v>571897.16685344127</v>
      </c>
      <c r="E77" s="22">
        <f t="shared" si="20"/>
        <v>984171.27761662984</v>
      </c>
      <c r="F77" s="22">
        <f t="shared" si="20"/>
        <v>1819924.3752898399</v>
      </c>
      <c r="G77" s="22">
        <f t="shared" si="20"/>
        <v>2665241.2627047389</v>
      </c>
      <c r="H77" s="22">
        <f t="shared" si="20"/>
        <v>2920957.604068432</v>
      </c>
      <c r="I77" s="22">
        <f t="shared" si="20"/>
        <v>3926877.2759603071</v>
      </c>
      <c r="J77" s="22">
        <f t="shared" si="20"/>
        <v>7307861.6543072546</v>
      </c>
      <c r="K77" s="22">
        <f t="shared" si="20"/>
        <v>8879295.6231144685</v>
      </c>
      <c r="L77" s="22">
        <f t="shared" si="20"/>
        <v>10818889.97248414</v>
      </c>
      <c r="M77" s="22">
        <f t="shared" si="20"/>
        <v>15911258.242984723</v>
      </c>
      <c r="N77" s="22">
        <f t="shared" si="20"/>
        <v>23074249.424736958</v>
      </c>
      <c r="O77" s="22">
        <f t="shared" si="20"/>
        <v>32349123.317907088</v>
      </c>
      <c r="P77" s="22">
        <f t="shared" si="20"/>
        <v>28316044.09500666</v>
      </c>
    </row>
    <row r="78" spans="1:16" s="24" customFormat="1" ht="10.5">
      <c r="A78" s="24" t="s">
        <v>5</v>
      </c>
      <c r="B78" s="24">
        <f>B71</f>
        <v>2223438</v>
      </c>
      <c r="C78" s="24">
        <f>SUM(C73:C77)+C71</f>
        <v>5567094.105844358</v>
      </c>
      <c r="D78" s="24">
        <f t="shared" ref="D78:P78" si="21">SUM(D73:D77)+D71</f>
        <v>8783895.9299622737</v>
      </c>
      <c r="E78" s="24">
        <f t="shared" si="21"/>
        <v>14481623.606295675</v>
      </c>
      <c r="F78" s="24">
        <f t="shared" si="21"/>
        <v>22061841.279478624</v>
      </c>
      <c r="G78" s="24">
        <f t="shared" si="21"/>
        <v>31976193.734762657</v>
      </c>
      <c r="H78" s="24">
        <f t="shared" si="21"/>
        <v>40700467.040383741</v>
      </c>
      <c r="I78" s="24">
        <f t="shared" si="21"/>
        <v>47980418.465387724</v>
      </c>
      <c r="J78" s="24">
        <f t="shared" si="21"/>
        <v>68372075.503164098</v>
      </c>
      <c r="K78" s="24">
        <f t="shared" si="21"/>
        <v>95111898.386029646</v>
      </c>
      <c r="L78" s="24">
        <f t="shared" si="21"/>
        <v>125142932.80078103</v>
      </c>
      <c r="M78" s="24">
        <f t="shared" si="21"/>
        <v>170638988.93387207</v>
      </c>
      <c r="N78" s="24">
        <f t="shared" si="21"/>
        <v>235883735.44701388</v>
      </c>
      <c r="O78" s="24">
        <f>SUM(O73:O77)</f>
        <v>269357870.28213429</v>
      </c>
      <c r="P78" s="24">
        <f t="shared" si="21"/>
        <v>244562033.28332418</v>
      </c>
    </row>
    <row r="79" spans="1:16">
      <c r="N79" s="1"/>
    </row>
    <row r="81" spans="1:4">
      <c r="A81" s="1" t="s">
        <v>18</v>
      </c>
    </row>
    <row r="86" spans="1:4">
      <c r="A86" t="s">
        <v>22</v>
      </c>
      <c r="B86" s="12" t="s">
        <v>66</v>
      </c>
      <c r="C86" s="12" t="s">
        <v>68</v>
      </c>
      <c r="D86" s="12" t="s">
        <v>26</v>
      </c>
    </row>
    <row r="87" spans="1:4">
      <c r="A87" t="s">
        <v>138</v>
      </c>
      <c r="B87" s="12">
        <v>-2103965</v>
      </c>
      <c r="C87" s="12">
        <v>4207930</v>
      </c>
      <c r="D87" s="12">
        <v>2223438</v>
      </c>
    </row>
    <row r="88" spans="1:4">
      <c r="A88" t="s">
        <v>89</v>
      </c>
      <c r="B88" s="12">
        <v>-2768307</v>
      </c>
      <c r="C88" s="12">
        <v>5536614</v>
      </c>
      <c r="D88" s="12">
        <v>3150718</v>
      </c>
    </row>
    <row r="89" spans="1:4">
      <c r="A89" t="s">
        <v>90</v>
      </c>
      <c r="B89" s="12">
        <v>-3177752</v>
      </c>
      <c r="C89" s="12">
        <v>6355504</v>
      </c>
      <c r="D89" s="12">
        <v>3195133</v>
      </c>
    </row>
    <row r="90" spans="1:4">
      <c r="A90" t="s">
        <v>91</v>
      </c>
      <c r="B90" s="12">
        <v>-4259982</v>
      </c>
      <c r="C90" s="12">
        <v>8519964</v>
      </c>
      <c r="D90" s="12">
        <v>5132639</v>
      </c>
    </row>
    <row r="91" spans="1:4">
      <c r="A91" t="s">
        <v>93</v>
      </c>
      <c r="B91" s="12">
        <v>-4837575</v>
      </c>
      <c r="C91" s="12">
        <v>9675150</v>
      </c>
      <c r="D91" s="12">
        <v>5949406</v>
      </c>
    </row>
    <row r="92" spans="1:4">
      <c r="A92" t="s">
        <v>94</v>
      </c>
      <c r="B92" s="12">
        <v>-5896299</v>
      </c>
      <c r="C92" s="12">
        <v>11792598</v>
      </c>
      <c r="D92" s="12">
        <v>7293676</v>
      </c>
    </row>
    <row r="93" spans="1:4">
      <c r="A93" t="s">
        <v>95</v>
      </c>
      <c r="B93" s="12">
        <v>-7678922</v>
      </c>
      <c r="C93" s="12">
        <v>15357844</v>
      </c>
      <c r="D93" s="12">
        <v>9758954</v>
      </c>
    </row>
    <row r="94" spans="1:4">
      <c r="A94" t="s">
        <v>96</v>
      </c>
      <c r="B94" s="12">
        <v>-8925093</v>
      </c>
      <c r="C94" s="12">
        <v>17850186</v>
      </c>
      <c r="D94" s="12">
        <v>10160883</v>
      </c>
    </row>
    <row r="95" spans="1:4">
      <c r="A95" t="s">
        <v>97</v>
      </c>
      <c r="B95" s="12">
        <v>-10872186</v>
      </c>
      <c r="C95" s="12">
        <v>21744372</v>
      </c>
      <c r="D95" s="12">
        <v>12895705</v>
      </c>
    </row>
    <row r="96" spans="1:4">
      <c r="A96" t="s">
        <v>99</v>
      </c>
      <c r="B96" s="12">
        <v>-13614425</v>
      </c>
      <c r="C96" s="12">
        <v>27228850</v>
      </c>
      <c r="D96" s="12">
        <v>17730592</v>
      </c>
    </row>
    <row r="97" spans="1:4">
      <c r="A97" t="s">
        <v>101</v>
      </c>
      <c r="B97" s="12">
        <v>-15668164</v>
      </c>
      <c r="C97" s="12">
        <v>31336328</v>
      </c>
      <c r="D97" s="12">
        <v>19736892</v>
      </c>
    </row>
    <row r="98" spans="1:4">
      <c r="A98" t="s">
        <v>103</v>
      </c>
      <c r="B98" s="12">
        <v>-17574907</v>
      </c>
      <c r="C98" s="12">
        <v>35149814</v>
      </c>
      <c r="D98" s="12">
        <v>20870442</v>
      </c>
    </row>
    <row r="99" spans="1:4">
      <c r="A99" t="s">
        <v>104</v>
      </c>
      <c r="B99" s="12">
        <v>-20550472</v>
      </c>
      <c r="C99" s="12">
        <v>41100944</v>
      </c>
      <c r="D99" s="12">
        <v>24583429</v>
      </c>
    </row>
    <row r="100" spans="1:4">
      <c r="A100" t="s">
        <v>106</v>
      </c>
      <c r="B100" s="12">
        <v>-5093244</v>
      </c>
      <c r="C100" s="12">
        <v>10186488</v>
      </c>
      <c r="D100" s="12">
        <v>3350821</v>
      </c>
    </row>
  </sheetData>
  <phoneticPr fontId="2" type="noConversion"/>
  <pageMargins left="0.75196850393700787" right="0.75196850393700787" top="1" bottom="1" header="0.5" footer="0.5"/>
  <pageSetup paperSize="0" orientation="landscape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3:L32"/>
  <sheetViews>
    <sheetView view="pageLayout" workbookViewId="0">
      <selection activeCell="E8" sqref="E8"/>
    </sheetView>
  </sheetViews>
  <sheetFormatPr defaultColWidth="11" defaultRowHeight="12.75"/>
  <cols>
    <col min="1" max="1" width="19.75" customWidth="1"/>
    <col min="2" max="2" width="20.375" customWidth="1"/>
    <col min="3" max="3" width="17" customWidth="1"/>
    <col min="4" max="4" width="15.125" customWidth="1"/>
    <col min="5" max="5" width="13.625" customWidth="1"/>
    <col min="6" max="6" width="30.125" customWidth="1"/>
  </cols>
  <sheetData>
    <row r="3" spans="1:12" ht="14.1" customHeight="1">
      <c r="B3" t="s">
        <v>56</v>
      </c>
      <c r="C3" t="s">
        <v>57</v>
      </c>
      <c r="D3" t="s">
        <v>58</v>
      </c>
      <c r="E3" t="s">
        <v>59</v>
      </c>
      <c r="F3" t="s">
        <v>44</v>
      </c>
    </row>
    <row r="4" spans="1:12" ht="33.950000000000003" customHeight="1">
      <c r="A4" s="1" t="s">
        <v>71</v>
      </c>
      <c r="B4" s="1" t="s">
        <v>51</v>
      </c>
      <c r="C4" s="1" t="s">
        <v>52</v>
      </c>
      <c r="D4" s="1" t="s">
        <v>53</v>
      </c>
      <c r="E4" s="1" t="s">
        <v>54</v>
      </c>
      <c r="F4" s="1" t="s">
        <v>55</v>
      </c>
      <c r="G4" s="1" t="s">
        <v>71</v>
      </c>
      <c r="H4" s="1" t="s">
        <v>51</v>
      </c>
      <c r="I4" s="1" t="s">
        <v>52</v>
      </c>
      <c r="J4" s="1" t="s">
        <v>53</v>
      </c>
      <c r="K4" s="1" t="s">
        <v>54</v>
      </c>
      <c r="L4" s="1" t="s">
        <v>55</v>
      </c>
    </row>
    <row r="5" spans="1:12">
      <c r="A5" s="1">
        <v>1967</v>
      </c>
      <c r="B5">
        <f>H5*0.01</f>
        <v>0.18090000000000001</v>
      </c>
      <c r="C5">
        <f t="shared" ref="C5:C19" si="0">I5*0.01</f>
        <v>-2.2000000000000002E-2</v>
      </c>
      <c r="D5">
        <f t="shared" ref="D5:D19" si="1">J5*0.01</f>
        <v>2.2100000000000002E-2</v>
      </c>
      <c r="E5">
        <f t="shared" ref="E5:E19" si="2">K5*0.01</f>
        <v>4.6200000000000005E-2</v>
      </c>
      <c r="F5">
        <f t="shared" ref="F5:F19" si="3">L5*0.01</f>
        <v>0.2356</v>
      </c>
      <c r="G5" s="1">
        <v>1967</v>
      </c>
      <c r="H5">
        <v>18.09</v>
      </c>
      <c r="I5">
        <v>-2.2000000000000002</v>
      </c>
      <c r="J5">
        <v>2.21</v>
      </c>
      <c r="K5">
        <v>4.62</v>
      </c>
      <c r="L5">
        <v>23.56</v>
      </c>
    </row>
    <row r="6" spans="1:12">
      <c r="A6" s="1">
        <v>1968</v>
      </c>
      <c r="B6">
        <f t="shared" ref="B6:B19" si="4">H6*0.01</f>
        <v>0.22450000000000001</v>
      </c>
      <c r="C6">
        <f t="shared" si="0"/>
        <v>-8.0000000000000002E-3</v>
      </c>
      <c r="D6">
        <f t="shared" si="1"/>
        <v>2.9700000000000004E-2</v>
      </c>
      <c r="E6">
        <f t="shared" si="2"/>
        <v>6.4699999999999994E-2</v>
      </c>
      <c r="F6">
        <f t="shared" si="3"/>
        <v>0.10199999999999999</v>
      </c>
      <c r="G6" s="1">
        <v>1968</v>
      </c>
      <c r="H6">
        <v>22.45</v>
      </c>
      <c r="I6">
        <v>-0.8</v>
      </c>
      <c r="J6">
        <v>2.97</v>
      </c>
      <c r="K6">
        <v>6.47</v>
      </c>
      <c r="L6">
        <v>10.199999999999999</v>
      </c>
    </row>
    <row r="7" spans="1:12">
      <c r="A7" s="1">
        <v>1969</v>
      </c>
      <c r="B7">
        <f t="shared" si="4"/>
        <v>-8.1000000000000013E-3</v>
      </c>
      <c r="C7">
        <f t="shared" si="0"/>
        <v>-2.01E-2</v>
      </c>
      <c r="D7">
        <f t="shared" si="1"/>
        <v>-3.15E-2</v>
      </c>
      <c r="E7">
        <f t="shared" si="2"/>
        <v>7.4300000000000005E-2</v>
      </c>
      <c r="F7">
        <f t="shared" si="3"/>
        <v>-8.3299999999999999E-2</v>
      </c>
      <c r="G7" s="1">
        <v>1969</v>
      </c>
      <c r="H7">
        <v>-0.81</v>
      </c>
      <c r="I7">
        <v>-2.0099999999999998</v>
      </c>
      <c r="J7">
        <v>-3.15</v>
      </c>
      <c r="K7">
        <v>7.43</v>
      </c>
      <c r="L7">
        <v>-8.33</v>
      </c>
    </row>
    <row r="8" spans="1:12">
      <c r="A8" s="1">
        <v>1970</v>
      </c>
      <c r="B8">
        <f t="shared" si="4"/>
        <v>-3.5700000000000003E-2</v>
      </c>
      <c r="C8">
        <f t="shared" si="0"/>
        <v>0.2198</v>
      </c>
      <c r="D8">
        <f t="shared" si="1"/>
        <v>0.1187</v>
      </c>
      <c r="E8">
        <f t="shared" si="2"/>
        <v>6.5700000000000008E-2</v>
      </c>
      <c r="F8">
        <f t="shared" si="3"/>
        <v>-1.5500000000000002E-2</v>
      </c>
      <c r="G8" s="1">
        <v>1970</v>
      </c>
      <c r="H8">
        <v>-3.57</v>
      </c>
      <c r="I8">
        <v>21.98</v>
      </c>
      <c r="J8">
        <v>11.87</v>
      </c>
      <c r="K8">
        <v>6.57</v>
      </c>
      <c r="L8">
        <v>-1.55</v>
      </c>
    </row>
    <row r="9" spans="1:12">
      <c r="A9" s="1">
        <v>1971</v>
      </c>
      <c r="B9">
        <f t="shared" si="4"/>
        <v>8.0100000000000005E-2</v>
      </c>
      <c r="C9">
        <f t="shared" si="0"/>
        <v>0.11550000000000001</v>
      </c>
      <c r="D9">
        <f t="shared" si="1"/>
        <v>0.13900000000000001</v>
      </c>
      <c r="E9">
        <f t="shared" si="2"/>
        <v>3.7900000000000003E-2</v>
      </c>
      <c r="F9">
        <f t="shared" si="3"/>
        <v>0.1222</v>
      </c>
      <c r="G9" s="1">
        <v>1971</v>
      </c>
      <c r="H9">
        <v>8.01</v>
      </c>
      <c r="I9">
        <v>11.55</v>
      </c>
      <c r="J9">
        <v>13.9</v>
      </c>
      <c r="K9">
        <v>3.79</v>
      </c>
      <c r="L9">
        <v>12.22</v>
      </c>
    </row>
    <row r="10" spans="1:12">
      <c r="A10" s="1">
        <v>1972</v>
      </c>
      <c r="B10">
        <f t="shared" si="4"/>
        <v>0.27379999999999999</v>
      </c>
      <c r="C10">
        <f t="shared" si="0"/>
        <v>1.11E-2</v>
      </c>
      <c r="D10">
        <f t="shared" si="1"/>
        <v>8.9200000000000002E-2</v>
      </c>
      <c r="E10">
        <f t="shared" si="2"/>
        <v>3.5900000000000001E-2</v>
      </c>
      <c r="F10">
        <f t="shared" si="3"/>
        <v>0.1862</v>
      </c>
      <c r="G10" s="1">
        <v>1972</v>
      </c>
      <c r="H10">
        <v>27.38</v>
      </c>
      <c r="I10">
        <v>1.1100000000000001</v>
      </c>
      <c r="J10">
        <v>8.92</v>
      </c>
      <c r="K10">
        <v>3.59</v>
      </c>
      <c r="L10">
        <v>18.62</v>
      </c>
    </row>
    <row r="11" spans="1:12">
      <c r="A11" s="1">
        <v>1973</v>
      </c>
      <c r="B11">
        <f t="shared" si="4"/>
        <v>2.7000000000000001E-3</v>
      </c>
      <c r="C11">
        <f t="shared" si="0"/>
        <v>1.7100000000000001E-2</v>
      </c>
      <c r="D11">
        <f t="shared" si="1"/>
        <v>6.8699999999999997E-2</v>
      </c>
      <c r="E11">
        <f t="shared" si="2"/>
        <v>5.4600000000000003E-2</v>
      </c>
      <c r="F11">
        <f t="shared" si="3"/>
        <v>-0.14529999999999998</v>
      </c>
      <c r="G11" s="1">
        <v>1973</v>
      </c>
      <c r="H11">
        <v>0.27</v>
      </c>
      <c r="I11">
        <v>1.71</v>
      </c>
      <c r="J11">
        <v>6.87</v>
      </c>
      <c r="K11">
        <v>5.46</v>
      </c>
      <c r="L11">
        <v>-14.53</v>
      </c>
    </row>
    <row r="12" spans="1:12">
      <c r="A12" s="1">
        <v>1974</v>
      </c>
      <c r="B12">
        <f t="shared" si="4"/>
        <v>-0.25929999999999997</v>
      </c>
      <c r="C12">
        <f t="shared" si="0"/>
        <v>-1.6899999999999998E-2</v>
      </c>
      <c r="D12">
        <f t="shared" si="1"/>
        <v>4.4999999999999998E-2</v>
      </c>
      <c r="E12">
        <f t="shared" si="2"/>
        <v>8.2300000000000012E-2</v>
      </c>
      <c r="F12">
        <f t="shared" si="3"/>
        <v>-0.27200000000000002</v>
      </c>
      <c r="G12" s="1">
        <v>1974</v>
      </c>
      <c r="H12">
        <v>-25.93</v>
      </c>
      <c r="I12">
        <v>-1.69</v>
      </c>
      <c r="J12">
        <v>4.5</v>
      </c>
      <c r="K12">
        <v>8.23</v>
      </c>
      <c r="L12">
        <v>-27.2</v>
      </c>
    </row>
    <row r="13" spans="1:12">
      <c r="A13" s="1">
        <v>1975</v>
      </c>
      <c r="B13">
        <f t="shared" si="4"/>
        <v>0.18480000000000002</v>
      </c>
      <c r="C13">
        <f t="shared" si="0"/>
        <v>2.8199999999999999E-2</v>
      </c>
      <c r="D13">
        <f t="shared" si="1"/>
        <v>0.122</v>
      </c>
      <c r="E13">
        <f t="shared" si="2"/>
        <v>7.5600000000000001E-2</v>
      </c>
      <c r="F13">
        <f t="shared" si="3"/>
        <v>0.40759999999999996</v>
      </c>
      <c r="G13" s="1">
        <v>1975</v>
      </c>
      <c r="H13">
        <v>18.48</v>
      </c>
      <c r="I13">
        <v>2.82</v>
      </c>
      <c r="J13">
        <v>12.2</v>
      </c>
      <c r="K13">
        <v>7.56</v>
      </c>
      <c r="L13">
        <v>40.76</v>
      </c>
    </row>
    <row r="14" spans="1:12">
      <c r="A14" s="1">
        <v>1976</v>
      </c>
      <c r="B14">
        <f t="shared" si="4"/>
        <v>0.11019999999999999</v>
      </c>
      <c r="C14">
        <f t="shared" si="0"/>
        <v>0.19020000000000001</v>
      </c>
      <c r="D14">
        <f t="shared" si="1"/>
        <v>0.1421</v>
      </c>
      <c r="E14">
        <f t="shared" si="2"/>
        <v>9.4399999999999998E-2</v>
      </c>
      <c r="F14">
        <f t="shared" si="3"/>
        <v>0.24180000000000001</v>
      </c>
      <c r="G14" s="1">
        <v>1976</v>
      </c>
      <c r="H14">
        <v>11.02</v>
      </c>
      <c r="I14">
        <v>19.02</v>
      </c>
      <c r="J14">
        <v>14.21</v>
      </c>
      <c r="K14">
        <v>9.44</v>
      </c>
      <c r="L14">
        <v>24.18</v>
      </c>
    </row>
    <row r="15" spans="1:12">
      <c r="A15" s="1">
        <v>1977</v>
      </c>
      <c r="B15">
        <f t="shared" si="4"/>
        <v>0.10710000000000001</v>
      </c>
      <c r="C15">
        <f t="shared" si="0"/>
        <v>5.9699999999999996E-2</v>
      </c>
      <c r="D15">
        <f t="shared" si="1"/>
        <v>0.1462</v>
      </c>
      <c r="E15">
        <f t="shared" si="2"/>
        <v>7.8600000000000003E-2</v>
      </c>
      <c r="F15">
        <f t="shared" si="3"/>
        <v>-2.5000000000000001E-3</v>
      </c>
      <c r="G15" s="1">
        <v>1977</v>
      </c>
      <c r="H15">
        <v>10.71</v>
      </c>
      <c r="I15">
        <v>5.97</v>
      </c>
      <c r="J15">
        <v>14.62</v>
      </c>
      <c r="K15">
        <v>7.86</v>
      </c>
      <c r="L15">
        <v>-0.25</v>
      </c>
    </row>
    <row r="16" spans="1:12">
      <c r="A16" s="1">
        <v>1978</v>
      </c>
      <c r="B16">
        <f t="shared" si="4"/>
        <v>0.29720000000000002</v>
      </c>
      <c r="C16">
        <f t="shared" si="0"/>
        <v>1.29E-2</v>
      </c>
      <c r="D16">
        <f t="shared" si="1"/>
        <v>6.8400000000000002E-2</v>
      </c>
      <c r="E16">
        <f t="shared" si="2"/>
        <v>8.9300000000000004E-2</v>
      </c>
      <c r="F16">
        <f t="shared" si="3"/>
        <v>0.14410000000000001</v>
      </c>
      <c r="G16" s="1">
        <v>1978</v>
      </c>
      <c r="H16">
        <v>29.72</v>
      </c>
      <c r="I16">
        <v>1.29</v>
      </c>
      <c r="J16">
        <v>6.84</v>
      </c>
      <c r="K16">
        <v>8.93</v>
      </c>
      <c r="L16">
        <v>14.41</v>
      </c>
    </row>
    <row r="17" spans="1:12">
      <c r="A17" s="1">
        <v>1979</v>
      </c>
      <c r="B17">
        <f t="shared" si="4"/>
        <v>0.44770000000000004</v>
      </c>
      <c r="C17">
        <f t="shared" si="0"/>
        <v>-2.6200000000000001E-2</v>
      </c>
      <c r="D17">
        <f t="shared" si="1"/>
        <v>5.6600000000000004E-2</v>
      </c>
      <c r="E17">
        <f t="shared" si="2"/>
        <v>0.12539999999999998</v>
      </c>
      <c r="F17">
        <f t="shared" si="3"/>
        <v>0.17250000000000001</v>
      </c>
      <c r="G17" s="1">
        <v>1979</v>
      </c>
      <c r="H17">
        <v>44.77</v>
      </c>
      <c r="I17">
        <v>-2.62</v>
      </c>
      <c r="J17">
        <v>5.66</v>
      </c>
      <c r="K17">
        <v>12.54</v>
      </c>
      <c r="L17">
        <v>17.25</v>
      </c>
    </row>
    <row r="18" spans="1:12">
      <c r="A18" s="1">
        <v>1980</v>
      </c>
      <c r="B18">
        <f t="shared" si="4"/>
        <v>0.30130000000000001</v>
      </c>
      <c r="C18">
        <f t="shared" si="0"/>
        <v>2.06E-2</v>
      </c>
      <c r="D18">
        <f t="shared" si="1"/>
        <v>8.1000000000000003E-2</v>
      </c>
      <c r="E18">
        <f t="shared" si="2"/>
        <v>0.13720000000000002</v>
      </c>
      <c r="F18">
        <f t="shared" si="3"/>
        <v>0.35389999999999999</v>
      </c>
      <c r="G18" s="1">
        <v>1980</v>
      </c>
      <c r="H18">
        <v>30.13</v>
      </c>
      <c r="I18">
        <v>2.06</v>
      </c>
      <c r="J18">
        <v>8.1</v>
      </c>
      <c r="K18">
        <v>13.72</v>
      </c>
      <c r="L18">
        <v>35.39</v>
      </c>
    </row>
    <row r="19" spans="1:12">
      <c r="A19" s="1">
        <v>1981</v>
      </c>
      <c r="B19">
        <f t="shared" si="4"/>
        <v>-0.10250000000000001</v>
      </c>
      <c r="C19">
        <f t="shared" si="0"/>
        <v>-3.0200000000000001E-2</v>
      </c>
      <c r="D19">
        <f t="shared" si="1"/>
        <v>9.98E-2</v>
      </c>
      <c r="E19">
        <f t="shared" si="2"/>
        <v>0.20379999999999998</v>
      </c>
      <c r="F19">
        <f t="shared" si="3"/>
        <v>-5.91E-2</v>
      </c>
      <c r="G19" s="1">
        <v>1981</v>
      </c>
      <c r="H19">
        <v>-10.25</v>
      </c>
      <c r="I19">
        <v>-3.02</v>
      </c>
      <c r="J19">
        <v>9.98</v>
      </c>
      <c r="K19">
        <v>20.38</v>
      </c>
      <c r="L19">
        <v>-5.91</v>
      </c>
    </row>
    <row r="23" spans="1:12">
      <c r="A23" s="1" t="s">
        <v>50</v>
      </c>
      <c r="B23" s="1" t="s">
        <v>47</v>
      </c>
      <c r="C23" s="1">
        <v>1985</v>
      </c>
      <c r="D23" s="1">
        <v>1989</v>
      </c>
      <c r="E23" s="1">
        <v>1990</v>
      </c>
      <c r="F23" s="1">
        <v>1991</v>
      </c>
    </row>
    <row r="24" spans="1:12">
      <c r="A24" s="1" t="s">
        <v>48</v>
      </c>
      <c r="B24">
        <v>45</v>
      </c>
      <c r="C24">
        <v>45</v>
      </c>
      <c r="D24">
        <v>38</v>
      </c>
      <c r="E24">
        <v>33</v>
      </c>
      <c r="F24">
        <v>45</v>
      </c>
    </row>
    <row r="25" spans="1:12">
      <c r="A25" s="1" t="s">
        <v>45</v>
      </c>
      <c r="B25">
        <v>24</v>
      </c>
      <c r="C25">
        <v>24</v>
      </c>
      <c r="D25">
        <v>37</v>
      </c>
      <c r="E25">
        <v>23</v>
      </c>
      <c r="F25">
        <v>23</v>
      </c>
    </row>
    <row r="26" spans="1:12">
      <c r="A26" s="1" t="s">
        <v>49</v>
      </c>
      <c r="B26">
        <v>9</v>
      </c>
      <c r="C26">
        <v>9</v>
      </c>
      <c r="D26">
        <v>4.3</v>
      </c>
      <c r="E26">
        <v>4</v>
      </c>
      <c r="F26">
        <v>3</v>
      </c>
    </row>
    <row r="27" spans="1:12">
      <c r="A27" s="1" t="s">
        <v>46</v>
      </c>
      <c r="B27">
        <v>11</v>
      </c>
      <c r="C27">
        <v>11</v>
      </c>
      <c r="D27">
        <v>9</v>
      </c>
      <c r="E27">
        <v>31</v>
      </c>
      <c r="F27">
        <v>15</v>
      </c>
    </row>
    <row r="28" spans="1:12">
      <c r="A28" s="1" t="s">
        <v>44</v>
      </c>
      <c r="B28">
        <v>11</v>
      </c>
      <c r="C28">
        <v>11</v>
      </c>
      <c r="D28">
        <v>11</v>
      </c>
      <c r="E28">
        <v>11</v>
      </c>
      <c r="F28">
        <v>11</v>
      </c>
    </row>
    <row r="30" spans="1:12">
      <c r="C30" t="s">
        <v>30</v>
      </c>
    </row>
    <row r="31" spans="1:12">
      <c r="C31" t="s">
        <v>60</v>
      </c>
    </row>
    <row r="32" spans="1:12">
      <c r="C32" t="s">
        <v>60</v>
      </c>
    </row>
  </sheetData>
  <phoneticPr fontId="2" type="noConversion"/>
  <pageMargins left="0.75196850393700787" right="0.75196850393700787" top="1" bottom="1" header="0.5" footer="0.5"/>
  <pageSetup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3:O39"/>
  <sheetViews>
    <sheetView workbookViewId="0">
      <selection activeCell="F35" sqref="F35"/>
    </sheetView>
  </sheetViews>
  <sheetFormatPr defaultColWidth="7.625" defaultRowHeight="12.75"/>
  <cols>
    <col min="6" max="6" width="18.25" customWidth="1"/>
    <col min="7" max="7" width="15.625" customWidth="1"/>
  </cols>
  <sheetData>
    <row r="3" spans="1:15">
      <c r="A3" s="1" t="s">
        <v>43</v>
      </c>
      <c r="B3" s="1"/>
      <c r="C3" s="1"/>
      <c r="D3" s="1"/>
    </row>
    <row r="4" spans="1:15">
      <c r="A4" s="1"/>
      <c r="B4" s="1" t="s">
        <v>42</v>
      </c>
      <c r="C4" s="1"/>
      <c r="D4" s="1"/>
    </row>
    <row r="6" spans="1:15">
      <c r="B6" s="11" t="s">
        <v>70</v>
      </c>
      <c r="D6" t="s">
        <v>41</v>
      </c>
    </row>
    <row r="7" spans="1:15">
      <c r="F7" s="1" t="s">
        <v>33</v>
      </c>
      <c r="G7" s="1" t="s">
        <v>24</v>
      </c>
    </row>
    <row r="8" spans="1:15">
      <c r="B8" s="1" t="s">
        <v>29</v>
      </c>
      <c r="F8" s="25">
        <f ca="1">'Public Accounts '!O59</f>
        <v>269510445.77509516</v>
      </c>
      <c r="G8" s="28">
        <f ca="1">'Public Accounts '!O78</f>
        <v>269357870.28213429</v>
      </c>
      <c r="J8" s="1" t="s">
        <v>6</v>
      </c>
      <c r="K8" s="1" t="s">
        <v>7</v>
      </c>
      <c r="L8" s="1" t="s">
        <v>6</v>
      </c>
      <c r="M8" s="1" t="s">
        <v>7</v>
      </c>
      <c r="N8" s="1" t="s">
        <v>6</v>
      </c>
      <c r="O8" s="1" t="s">
        <v>7</v>
      </c>
    </row>
    <row r="9" spans="1:15">
      <c r="A9">
        <v>1</v>
      </c>
      <c r="B9">
        <v>1981</v>
      </c>
      <c r="D9">
        <v>5.5</v>
      </c>
      <c r="E9">
        <f>D9*0.01</f>
        <v>5.5E-2</v>
      </c>
      <c r="F9" s="26">
        <f t="shared" ref="F9:F38" si="0">F8*E9+F8</f>
        <v>284333520.29272538</v>
      </c>
      <c r="G9" s="30">
        <f>G8*(1+E9*0.75)</f>
        <v>280468882.43127233</v>
      </c>
      <c r="J9" s="1">
        <v>1981</v>
      </c>
      <c r="K9">
        <v>5.5</v>
      </c>
      <c r="L9" s="1">
        <v>1991</v>
      </c>
      <c r="M9">
        <v>14.5</v>
      </c>
      <c r="N9" s="1">
        <v>2001</v>
      </c>
      <c r="O9">
        <v>-0.9</v>
      </c>
    </row>
    <row r="10" spans="1:15">
      <c r="A10">
        <v>2</v>
      </c>
      <c r="B10">
        <v>1982</v>
      </c>
      <c r="D10">
        <v>18.3</v>
      </c>
      <c r="E10">
        <f t="shared" ref="E10:E38" si="1">D10*0.01</f>
        <v>0.18300000000000002</v>
      </c>
      <c r="F10" s="26">
        <f t="shared" si="0"/>
        <v>336366554.50629413</v>
      </c>
      <c r="G10" s="30">
        <f t="shared" ref="G10:G38" si="2">G9*(1+E10)</f>
        <v>331794687.91619515</v>
      </c>
      <c r="J10" s="1">
        <v>1982</v>
      </c>
      <c r="K10">
        <v>18.3</v>
      </c>
      <c r="L10" s="1">
        <v>1992</v>
      </c>
      <c r="M10">
        <v>5</v>
      </c>
      <c r="N10" s="1">
        <v>2002</v>
      </c>
      <c r="O10">
        <v>-7.5</v>
      </c>
    </row>
    <row r="11" spans="1:15">
      <c r="A11">
        <v>3</v>
      </c>
      <c r="B11">
        <v>1983</v>
      </c>
      <c r="D11">
        <v>17.100000000000001</v>
      </c>
      <c r="E11">
        <f t="shared" si="1"/>
        <v>0.17100000000000001</v>
      </c>
      <c r="F11" s="26">
        <f t="shared" si="0"/>
        <v>393885235.32687044</v>
      </c>
      <c r="G11" s="30">
        <f t="shared" si="2"/>
        <v>388531579.54986453</v>
      </c>
      <c r="J11" s="1">
        <v>1983</v>
      </c>
      <c r="K11">
        <v>17.100000000000001</v>
      </c>
      <c r="L11" s="1">
        <v>1993</v>
      </c>
      <c r="M11">
        <v>24.1</v>
      </c>
      <c r="N11" s="1">
        <v>2003</v>
      </c>
      <c r="O11">
        <v>16.2</v>
      </c>
    </row>
    <row r="12" spans="1:15">
      <c r="A12">
        <v>4</v>
      </c>
      <c r="B12">
        <v>1984</v>
      </c>
      <c r="D12">
        <v>5.0999999999999996</v>
      </c>
      <c r="E12">
        <f t="shared" si="1"/>
        <v>5.0999999999999997E-2</v>
      </c>
      <c r="F12" s="26">
        <f t="shared" si="0"/>
        <v>413973382.3285408</v>
      </c>
      <c r="G12" s="30">
        <f t="shared" si="2"/>
        <v>408346690.10690761</v>
      </c>
      <c r="J12" s="1">
        <v>1984</v>
      </c>
      <c r="K12">
        <v>5.0999999999999996</v>
      </c>
      <c r="L12" s="1">
        <v>1994</v>
      </c>
      <c r="M12">
        <v>1.5</v>
      </c>
      <c r="N12" s="1">
        <v>2004</v>
      </c>
      <c r="O12">
        <v>11.6</v>
      </c>
    </row>
    <row r="13" spans="1:15">
      <c r="A13">
        <v>5</v>
      </c>
      <c r="B13">
        <v>1985</v>
      </c>
      <c r="D13">
        <v>21.6</v>
      </c>
      <c r="E13">
        <f t="shared" si="1"/>
        <v>0.21600000000000003</v>
      </c>
      <c r="F13" s="26">
        <f t="shared" si="0"/>
        <v>503391632.91150564</v>
      </c>
      <c r="G13" s="30">
        <f t="shared" si="2"/>
        <v>496549575.16999966</v>
      </c>
      <c r="J13" s="1">
        <v>1985</v>
      </c>
      <c r="K13">
        <v>21.6</v>
      </c>
      <c r="L13" s="1">
        <v>1995</v>
      </c>
      <c r="M13">
        <v>16.7</v>
      </c>
      <c r="N13" s="1">
        <v>2005</v>
      </c>
      <c r="O13">
        <v>15.5</v>
      </c>
    </row>
    <row r="14" spans="1:15">
      <c r="A14">
        <v>6</v>
      </c>
      <c r="B14">
        <v>1986</v>
      </c>
      <c r="D14">
        <v>11.8</v>
      </c>
      <c r="E14">
        <f t="shared" si="1"/>
        <v>0.11800000000000001</v>
      </c>
      <c r="F14" s="26">
        <f t="shared" si="0"/>
        <v>562791845.59506333</v>
      </c>
      <c r="G14" s="30">
        <f t="shared" si="2"/>
        <v>555142425.04005969</v>
      </c>
      <c r="J14" s="1">
        <v>1986</v>
      </c>
      <c r="K14">
        <v>11.8</v>
      </c>
      <c r="L14" s="1">
        <v>1996</v>
      </c>
      <c r="M14">
        <v>20.399999999999999</v>
      </c>
      <c r="N14" s="1">
        <v>2006</v>
      </c>
      <c r="O14">
        <v>16.399999999999999</v>
      </c>
    </row>
    <row r="15" spans="1:15">
      <c r="A15">
        <v>7</v>
      </c>
      <c r="B15">
        <v>1987</v>
      </c>
      <c r="D15">
        <v>7.8</v>
      </c>
      <c r="E15">
        <f t="shared" si="1"/>
        <v>7.8E-2</v>
      </c>
      <c r="F15" s="26">
        <f t="shared" si="0"/>
        <v>606689609.55147827</v>
      </c>
      <c r="G15" s="30">
        <f t="shared" si="2"/>
        <v>598443534.19318438</v>
      </c>
      <c r="J15" s="1">
        <v>1987</v>
      </c>
      <c r="K15">
        <v>7.8</v>
      </c>
      <c r="L15" s="1">
        <v>1997</v>
      </c>
      <c r="M15">
        <v>15.9</v>
      </c>
      <c r="N15" s="1">
        <v>2007</v>
      </c>
      <c r="O15">
        <v>-2.48</v>
      </c>
    </row>
    <row r="16" spans="1:15">
      <c r="A16">
        <v>8</v>
      </c>
      <c r="B16">
        <v>1988</v>
      </c>
      <c r="D16">
        <v>9.1999999999999993</v>
      </c>
      <c r="E16">
        <f t="shared" si="1"/>
        <v>9.1999999999999998E-2</v>
      </c>
      <c r="F16" s="26">
        <f t="shared" si="0"/>
        <v>662505053.63021421</v>
      </c>
      <c r="G16" s="30">
        <f t="shared" si="2"/>
        <v>653500339.33895743</v>
      </c>
      <c r="J16" s="1">
        <v>1988</v>
      </c>
      <c r="K16">
        <v>9.1999999999999993</v>
      </c>
      <c r="L16" s="1">
        <v>1998</v>
      </c>
      <c r="M16">
        <v>9.1</v>
      </c>
      <c r="N16" s="1">
        <v>2008</v>
      </c>
      <c r="O16">
        <v>-20.99</v>
      </c>
    </row>
    <row r="17" spans="1:15">
      <c r="A17">
        <v>9</v>
      </c>
      <c r="B17">
        <v>1989</v>
      </c>
      <c r="D17">
        <v>16.399999999999999</v>
      </c>
      <c r="E17">
        <f t="shared" si="1"/>
        <v>0.16399999999999998</v>
      </c>
      <c r="F17" s="26">
        <f t="shared" si="0"/>
        <v>771155882.4255693</v>
      </c>
      <c r="G17" s="30">
        <f t="shared" si="2"/>
        <v>760674394.99054635</v>
      </c>
      <c r="J17" s="1">
        <v>1989</v>
      </c>
      <c r="K17">
        <v>16.399999999999999</v>
      </c>
      <c r="L17" s="1">
        <v>1999</v>
      </c>
      <c r="M17">
        <v>11.5</v>
      </c>
      <c r="N17" s="1">
        <v>2009</v>
      </c>
      <c r="O17" s="18">
        <v>18.899999999999999</v>
      </c>
    </row>
    <row r="18" spans="1:15">
      <c r="A18">
        <v>10</v>
      </c>
      <c r="B18">
        <v>1990</v>
      </c>
      <c r="D18">
        <v>-2.8</v>
      </c>
      <c r="E18">
        <f t="shared" si="1"/>
        <v>-2.7999999999999997E-2</v>
      </c>
      <c r="F18" s="26">
        <f t="shared" si="0"/>
        <v>749563517.71765339</v>
      </c>
      <c r="G18" s="30">
        <f t="shared" si="2"/>
        <v>739375511.93081105</v>
      </c>
      <c r="J18" s="1">
        <v>1990</v>
      </c>
      <c r="K18">
        <v>-2.8</v>
      </c>
      <c r="L18" s="1">
        <v>2000</v>
      </c>
      <c r="M18">
        <v>9.4</v>
      </c>
      <c r="N18" s="1">
        <v>2010</v>
      </c>
      <c r="O18" s="18">
        <v>11.6</v>
      </c>
    </row>
    <row r="19" spans="1:15">
      <c r="A19">
        <v>11</v>
      </c>
      <c r="B19">
        <v>1991</v>
      </c>
      <c r="D19">
        <v>14.5</v>
      </c>
      <c r="E19">
        <f t="shared" si="1"/>
        <v>0.14499999999999999</v>
      </c>
      <c r="F19" s="26">
        <f t="shared" si="0"/>
        <v>858250227.78671312</v>
      </c>
      <c r="G19" s="30">
        <f t="shared" si="2"/>
        <v>846584961.16077864</v>
      </c>
    </row>
    <row r="20" spans="1:15">
      <c r="A20">
        <v>12</v>
      </c>
      <c r="B20">
        <v>1992</v>
      </c>
      <c r="D20">
        <v>5</v>
      </c>
      <c r="E20">
        <f t="shared" si="1"/>
        <v>0.05</v>
      </c>
      <c r="F20" s="26">
        <f t="shared" si="0"/>
        <v>901162739.17604876</v>
      </c>
      <c r="G20" s="30">
        <f t="shared" si="2"/>
        <v>888914209.21881759</v>
      </c>
    </row>
    <row r="21" spans="1:15">
      <c r="A21">
        <v>13</v>
      </c>
      <c r="B21">
        <v>1993</v>
      </c>
      <c r="D21">
        <v>24.1</v>
      </c>
      <c r="E21">
        <f t="shared" si="1"/>
        <v>0.24100000000000002</v>
      </c>
      <c r="F21" s="26">
        <f t="shared" si="0"/>
        <v>1118342959.3174765</v>
      </c>
      <c r="G21" s="30">
        <f t="shared" si="2"/>
        <v>1103142533.6405528</v>
      </c>
    </row>
    <row r="22" spans="1:15">
      <c r="A22">
        <v>14</v>
      </c>
      <c r="B22">
        <v>1994</v>
      </c>
      <c r="D22">
        <v>1.5</v>
      </c>
      <c r="E22">
        <f t="shared" si="1"/>
        <v>1.4999999999999999E-2</v>
      </c>
      <c r="F22" s="26">
        <f t="shared" si="0"/>
        <v>1135118103.7072387</v>
      </c>
      <c r="G22" s="30">
        <f t="shared" si="2"/>
        <v>1119689671.6451609</v>
      </c>
    </row>
    <row r="23" spans="1:15">
      <c r="A23">
        <v>15</v>
      </c>
      <c r="B23">
        <v>1995</v>
      </c>
      <c r="D23">
        <v>16.7</v>
      </c>
      <c r="E23">
        <f t="shared" si="1"/>
        <v>0.16700000000000001</v>
      </c>
      <c r="F23" s="26">
        <f t="shared" si="0"/>
        <v>1324682827.0263476</v>
      </c>
      <c r="G23" s="30">
        <f t="shared" si="2"/>
        <v>1306677846.8099029</v>
      </c>
    </row>
    <row r="24" spans="1:15">
      <c r="A24">
        <v>16</v>
      </c>
      <c r="B24">
        <v>1996</v>
      </c>
      <c r="D24">
        <v>20.399999999999999</v>
      </c>
      <c r="E24">
        <f t="shared" si="1"/>
        <v>0.20399999999999999</v>
      </c>
      <c r="F24" s="26">
        <f t="shared" si="0"/>
        <v>1594918123.7397225</v>
      </c>
      <c r="G24" s="30">
        <f t="shared" si="2"/>
        <v>1573240127.559123</v>
      </c>
    </row>
    <row r="25" spans="1:15">
      <c r="A25">
        <v>17</v>
      </c>
      <c r="B25">
        <v>1997</v>
      </c>
      <c r="D25">
        <v>15.9</v>
      </c>
      <c r="E25">
        <f t="shared" si="1"/>
        <v>0.159</v>
      </c>
      <c r="F25" s="26">
        <f t="shared" si="0"/>
        <v>1848510105.4143384</v>
      </c>
      <c r="G25" s="30">
        <f t="shared" si="2"/>
        <v>1823385307.8410237</v>
      </c>
    </row>
    <row r="26" spans="1:15">
      <c r="A26">
        <v>18</v>
      </c>
      <c r="B26">
        <v>1998</v>
      </c>
      <c r="D26">
        <v>9.1</v>
      </c>
      <c r="E26">
        <f t="shared" si="1"/>
        <v>9.0999999999999998E-2</v>
      </c>
      <c r="F26" s="26">
        <f t="shared" si="0"/>
        <v>2016724525.0070431</v>
      </c>
      <c r="G26" s="30">
        <f t="shared" si="2"/>
        <v>1989313370.8545568</v>
      </c>
    </row>
    <row r="27" spans="1:15">
      <c r="A27">
        <v>19</v>
      </c>
      <c r="B27">
        <v>1999</v>
      </c>
      <c r="D27">
        <v>11.5</v>
      </c>
      <c r="E27">
        <f t="shared" si="1"/>
        <v>0.115</v>
      </c>
      <c r="F27" s="26">
        <f t="shared" si="0"/>
        <v>2248647845.382853</v>
      </c>
      <c r="G27" s="30">
        <f t="shared" si="2"/>
        <v>2218084408.502831</v>
      </c>
    </row>
    <row r="28" spans="1:15">
      <c r="A28">
        <v>20</v>
      </c>
      <c r="B28">
        <v>2000</v>
      </c>
      <c r="D28">
        <v>9.4</v>
      </c>
      <c r="E28">
        <f t="shared" si="1"/>
        <v>9.4E-2</v>
      </c>
      <c r="F28" s="26">
        <f t="shared" si="0"/>
        <v>2460020742.8488412</v>
      </c>
      <c r="G28" s="30">
        <f t="shared" si="2"/>
        <v>2426584342.9020972</v>
      </c>
    </row>
    <row r="29" spans="1:15">
      <c r="A29">
        <v>21</v>
      </c>
      <c r="B29">
        <v>2001</v>
      </c>
      <c r="D29">
        <v>-0.9</v>
      </c>
      <c r="E29">
        <f t="shared" si="1"/>
        <v>-9.0000000000000011E-3</v>
      </c>
      <c r="F29" s="26">
        <f t="shared" si="0"/>
        <v>2437880556.1632018</v>
      </c>
      <c r="G29" s="30">
        <f t="shared" si="2"/>
        <v>2404745083.8159785</v>
      </c>
    </row>
    <row r="30" spans="1:15">
      <c r="A30">
        <v>22</v>
      </c>
      <c r="B30">
        <v>2002</v>
      </c>
      <c r="D30">
        <v>-7.5</v>
      </c>
      <c r="E30">
        <f t="shared" si="1"/>
        <v>-7.4999999999999997E-2</v>
      </c>
      <c r="F30" s="26">
        <f t="shared" si="0"/>
        <v>2255039514.4509616</v>
      </c>
      <c r="G30" s="30">
        <f t="shared" si="2"/>
        <v>2224389202.5297804</v>
      </c>
    </row>
    <row r="31" spans="1:15">
      <c r="A31">
        <v>23</v>
      </c>
      <c r="B31">
        <v>2003</v>
      </c>
      <c r="D31">
        <v>16.2</v>
      </c>
      <c r="E31">
        <f t="shared" si="1"/>
        <v>0.16200000000000001</v>
      </c>
      <c r="F31" s="26">
        <f t="shared" si="0"/>
        <v>2620355915.7920175</v>
      </c>
      <c r="G31" s="30">
        <f t="shared" si="2"/>
        <v>2584740253.3396049</v>
      </c>
    </row>
    <row r="32" spans="1:15">
      <c r="A32">
        <v>24</v>
      </c>
      <c r="B32">
        <v>2004</v>
      </c>
      <c r="D32">
        <v>11.6</v>
      </c>
      <c r="E32">
        <f t="shared" si="1"/>
        <v>0.11599999999999999</v>
      </c>
      <c r="F32" s="26">
        <f t="shared" si="0"/>
        <v>2924317202.0238914</v>
      </c>
      <c r="G32" s="30">
        <f t="shared" si="2"/>
        <v>2884570122.7269993</v>
      </c>
    </row>
    <row r="33" spans="1:13">
      <c r="A33">
        <v>25</v>
      </c>
      <c r="B33">
        <v>2005</v>
      </c>
      <c r="D33">
        <v>15.5</v>
      </c>
      <c r="E33">
        <f t="shared" si="1"/>
        <v>0.155</v>
      </c>
      <c r="F33" s="26">
        <f t="shared" si="0"/>
        <v>3377586368.3375945</v>
      </c>
      <c r="G33" s="30">
        <f t="shared" si="2"/>
        <v>3331678491.7496843</v>
      </c>
    </row>
    <row r="34" spans="1:13">
      <c r="A34">
        <v>26</v>
      </c>
      <c r="B34">
        <v>2006</v>
      </c>
      <c r="D34">
        <v>16.399999999999999</v>
      </c>
      <c r="E34">
        <f t="shared" si="1"/>
        <v>0.16399999999999998</v>
      </c>
      <c r="F34" s="26">
        <f t="shared" si="0"/>
        <v>3931510532.7449598</v>
      </c>
      <c r="G34" s="30">
        <f t="shared" si="2"/>
        <v>3878073764.3966322</v>
      </c>
    </row>
    <row r="35" spans="1:13">
      <c r="A35">
        <v>27</v>
      </c>
      <c r="B35">
        <v>2007</v>
      </c>
      <c r="D35">
        <v>-2.48</v>
      </c>
      <c r="E35">
        <f t="shared" si="1"/>
        <v>-2.4799999999999999E-2</v>
      </c>
      <c r="F35" s="26">
        <f t="shared" si="0"/>
        <v>3834009071.5328846</v>
      </c>
      <c r="G35" s="30">
        <f t="shared" si="2"/>
        <v>3781897535.0395956</v>
      </c>
    </row>
    <row r="36" spans="1:13">
      <c r="A36">
        <v>28</v>
      </c>
      <c r="B36">
        <v>2008</v>
      </c>
      <c r="D36">
        <v>-20.99</v>
      </c>
      <c r="E36">
        <f t="shared" si="1"/>
        <v>-0.20989999999999998</v>
      </c>
      <c r="F36" s="26">
        <f t="shared" si="0"/>
        <v>3029250567.4181323</v>
      </c>
      <c r="G36" s="30">
        <f t="shared" si="2"/>
        <v>2988077242.4347844</v>
      </c>
    </row>
    <row r="37" spans="1:13">
      <c r="A37">
        <v>29</v>
      </c>
      <c r="B37">
        <v>2009</v>
      </c>
      <c r="D37" s="18">
        <v>18.899999999999999</v>
      </c>
      <c r="E37">
        <f t="shared" si="1"/>
        <v>0.189</v>
      </c>
      <c r="F37" s="26">
        <f t="shared" si="0"/>
        <v>3601778924.6601591</v>
      </c>
      <c r="G37" s="30">
        <f t="shared" si="2"/>
        <v>3552823841.2549586</v>
      </c>
      <c r="M37" s="1"/>
    </row>
    <row r="38" spans="1:13" s="1" customFormat="1">
      <c r="A38" s="1">
        <v>30</v>
      </c>
      <c r="B38" s="1">
        <v>2010</v>
      </c>
      <c r="D38" s="17">
        <v>11.6</v>
      </c>
      <c r="E38" s="1">
        <f t="shared" si="1"/>
        <v>0.11599999999999999</v>
      </c>
      <c r="F38" s="25">
        <f t="shared" si="0"/>
        <v>4019585279.9207377</v>
      </c>
      <c r="G38" s="31">
        <f t="shared" si="2"/>
        <v>3964951406.8405342</v>
      </c>
    </row>
    <row r="39" spans="1:13">
      <c r="D39" s="17" t="s">
        <v>40</v>
      </c>
    </row>
  </sheetData>
  <phoneticPr fontId="2" type="noConversion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3:Q118"/>
  <sheetViews>
    <sheetView tabSelected="1" topLeftCell="D65" zoomScale="110" zoomScaleNormal="150" zoomScalePageLayoutView="150" workbookViewId="0">
      <selection activeCell="C69" sqref="C69"/>
    </sheetView>
  </sheetViews>
  <sheetFormatPr defaultColWidth="11" defaultRowHeight="12.75"/>
  <cols>
    <col min="1" max="1" width="34.875" customWidth="1"/>
    <col min="2" max="2" width="14.25" customWidth="1"/>
    <col min="3" max="4" width="13.25" customWidth="1"/>
    <col min="5" max="5" width="13.625" customWidth="1"/>
    <col min="6" max="6" width="11.875" customWidth="1"/>
    <col min="7" max="7" width="12.75" customWidth="1"/>
    <col min="8" max="9" width="11.75" customWidth="1"/>
    <col min="10" max="10" width="11.875" customWidth="1"/>
    <col min="11" max="11" width="12.125" customWidth="1"/>
    <col min="12" max="12" width="12.5" customWidth="1"/>
    <col min="13" max="13" width="12.75" customWidth="1"/>
    <col min="14" max="14" width="13.375" customWidth="1"/>
    <col min="15" max="15" width="13.5" customWidth="1"/>
    <col min="16" max="16" width="12.75" customWidth="1"/>
    <col min="17" max="17" width="13.375" customWidth="1"/>
  </cols>
  <sheetData>
    <row r="3" spans="1:17" s="1" customFormat="1">
      <c r="B3" s="1" t="s">
        <v>139</v>
      </c>
      <c r="C3" s="1" t="s">
        <v>109</v>
      </c>
      <c r="E3" s="1" t="s">
        <v>110</v>
      </c>
      <c r="F3" s="1" t="s">
        <v>92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98</v>
      </c>
      <c r="L3" s="1" t="s">
        <v>100</v>
      </c>
      <c r="M3" s="1" t="s">
        <v>102</v>
      </c>
      <c r="N3" s="1" t="s">
        <v>115</v>
      </c>
      <c r="O3" s="1" t="s">
        <v>105</v>
      </c>
      <c r="P3" s="1" t="s">
        <v>107</v>
      </c>
      <c r="Q3" s="1" t="s">
        <v>108</v>
      </c>
    </row>
    <row r="4" spans="1:17">
      <c r="A4" s="1" t="s">
        <v>137</v>
      </c>
    </row>
    <row r="5" spans="1:17">
      <c r="A5" s="2" t="s">
        <v>116</v>
      </c>
      <c r="B5" s="4">
        <v>518000</v>
      </c>
      <c r="C5" s="4">
        <v>470527</v>
      </c>
      <c r="D5" s="4"/>
      <c r="E5" s="4">
        <v>828875</v>
      </c>
      <c r="F5" s="4">
        <v>809037</v>
      </c>
      <c r="G5" s="4">
        <v>922408</v>
      </c>
      <c r="H5" s="4">
        <v>1112348</v>
      </c>
      <c r="I5" s="4">
        <v>1554911</v>
      </c>
      <c r="J5" s="4">
        <v>2481193</v>
      </c>
      <c r="K5" s="4">
        <v>3021643</v>
      </c>
      <c r="L5" s="4">
        <v>3573939</v>
      </c>
      <c r="M5" s="4">
        <v>4623788</v>
      </c>
      <c r="N5" s="4">
        <v>5736424</v>
      </c>
      <c r="O5" s="4">
        <v>6833602</v>
      </c>
      <c r="P5" s="4">
        <v>2257193</v>
      </c>
      <c r="Q5" s="4">
        <v>17336764</v>
      </c>
    </row>
    <row r="6" spans="1:17">
      <c r="A6" s="2" t="s">
        <v>117</v>
      </c>
      <c r="B6" s="4">
        <v>35254</v>
      </c>
      <c r="C6" s="4">
        <v>3854</v>
      </c>
      <c r="D6" s="4"/>
      <c r="E6" s="7">
        <v>0</v>
      </c>
      <c r="F6" s="4">
        <v>2510</v>
      </c>
      <c r="G6" s="4">
        <v>0</v>
      </c>
      <c r="H6" s="4">
        <v>486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P6" s="4"/>
      <c r="Q6" s="4"/>
    </row>
    <row r="7" spans="1:17">
      <c r="A7" s="2" t="s">
        <v>118</v>
      </c>
      <c r="B7" s="4">
        <v>47655</v>
      </c>
      <c r="C7" s="4">
        <v>34840</v>
      </c>
      <c r="D7" s="4"/>
      <c r="E7" s="4">
        <v>37324</v>
      </c>
      <c r="F7" s="4">
        <v>54495</v>
      </c>
      <c r="G7" s="4">
        <v>30523</v>
      </c>
      <c r="H7" s="4">
        <v>36553</v>
      </c>
      <c r="I7" s="4">
        <v>19938</v>
      </c>
      <c r="J7" s="4">
        <v>33987</v>
      </c>
      <c r="K7" s="4">
        <v>15896</v>
      </c>
      <c r="L7" s="4">
        <v>0</v>
      </c>
      <c r="M7" s="4">
        <v>0</v>
      </c>
      <c r="N7" s="4">
        <v>0</v>
      </c>
      <c r="P7" s="4"/>
      <c r="Q7" s="4"/>
    </row>
    <row r="8" spans="1:17">
      <c r="A8" s="2" t="s">
        <v>119</v>
      </c>
      <c r="B8" s="4">
        <v>463795</v>
      </c>
      <c r="C8" s="4">
        <v>443351</v>
      </c>
      <c r="D8" s="4"/>
      <c r="E8" s="4">
        <v>605234</v>
      </c>
      <c r="F8" s="4">
        <v>504587</v>
      </c>
      <c r="G8" s="4">
        <v>481291</v>
      </c>
      <c r="H8" s="4">
        <v>517833</v>
      </c>
      <c r="I8" s="4">
        <v>498022</v>
      </c>
      <c r="J8" s="4">
        <v>790107</v>
      </c>
      <c r="K8" s="4">
        <v>782376</v>
      </c>
      <c r="L8" s="4">
        <v>747120</v>
      </c>
      <c r="M8" s="4">
        <v>666677</v>
      </c>
      <c r="N8" s="4">
        <v>665372</v>
      </c>
      <c r="O8" s="4">
        <v>387385</v>
      </c>
      <c r="P8" s="4">
        <v>705253</v>
      </c>
      <c r="Q8" s="4">
        <v>875327</v>
      </c>
    </row>
    <row r="9" spans="1:17">
      <c r="A9" s="2" t="s">
        <v>87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>
        <v>185113</v>
      </c>
      <c r="P9" s="4">
        <v>84277</v>
      </c>
      <c r="Q9" s="4"/>
    </row>
    <row r="10" spans="1:17">
      <c r="A10" s="2" t="s">
        <v>120</v>
      </c>
      <c r="B10" s="4">
        <v>332220</v>
      </c>
      <c r="C10" s="4">
        <v>341975</v>
      </c>
      <c r="D10" s="4"/>
      <c r="E10" s="4">
        <v>346399</v>
      </c>
      <c r="F10" s="4">
        <v>344938</v>
      </c>
      <c r="G10" s="4">
        <v>427566</v>
      </c>
      <c r="H10" s="4">
        <v>498907</v>
      </c>
      <c r="I10" s="4">
        <v>578831</v>
      </c>
      <c r="J10" s="4">
        <v>679960</v>
      </c>
      <c r="K10" s="4">
        <v>810409</v>
      </c>
      <c r="L10" s="4">
        <v>892899</v>
      </c>
      <c r="M10" s="4">
        <v>1026095</v>
      </c>
      <c r="N10" s="4">
        <v>1143598</v>
      </c>
      <c r="O10" s="4">
        <v>1152127</v>
      </c>
      <c r="P10" s="4">
        <v>367140</v>
      </c>
      <c r="Q10" s="4"/>
    </row>
    <row r="11" spans="1:17">
      <c r="A11" s="2" t="s">
        <v>83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>
        <v>21586</v>
      </c>
      <c r="O11" s="4">
        <v>26370</v>
      </c>
      <c r="P11" s="4">
        <v>5656</v>
      </c>
      <c r="Q11" s="4"/>
    </row>
    <row r="12" spans="1:17">
      <c r="A12" s="2" t="s">
        <v>121</v>
      </c>
      <c r="B12" s="4">
        <v>41434</v>
      </c>
      <c r="C12" s="4">
        <v>58773</v>
      </c>
      <c r="D12" s="4"/>
      <c r="E12" s="4">
        <v>82621</v>
      </c>
      <c r="F12" s="4">
        <v>83466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P12" s="4"/>
      <c r="Q12" s="4"/>
    </row>
    <row r="13" spans="1:17">
      <c r="A13" s="2" t="s">
        <v>122</v>
      </c>
      <c r="B13" s="4">
        <v>17171</v>
      </c>
      <c r="C13" s="4">
        <v>17171</v>
      </c>
      <c r="D13" s="4"/>
      <c r="E13" s="4">
        <v>17171</v>
      </c>
      <c r="F13" s="4">
        <v>17171</v>
      </c>
      <c r="G13" s="4">
        <v>17171</v>
      </c>
      <c r="H13" s="4">
        <v>17246</v>
      </c>
      <c r="I13" s="4">
        <v>17171</v>
      </c>
      <c r="J13" s="4">
        <v>17171</v>
      </c>
      <c r="K13" s="4">
        <v>17171</v>
      </c>
      <c r="L13" s="4">
        <v>17171</v>
      </c>
      <c r="M13" s="4">
        <v>17172</v>
      </c>
      <c r="N13" s="4">
        <v>17171</v>
      </c>
      <c r="O13" s="4">
        <v>9927</v>
      </c>
      <c r="P13" s="4">
        <v>397</v>
      </c>
      <c r="Q13" s="4"/>
    </row>
    <row r="14" spans="1:17">
      <c r="A14" s="2" t="s">
        <v>123</v>
      </c>
      <c r="B14" s="4">
        <v>41171</v>
      </c>
      <c r="C14" s="4">
        <v>80378</v>
      </c>
      <c r="D14" s="4"/>
      <c r="E14" s="4">
        <v>96693</v>
      </c>
      <c r="F14" s="4">
        <v>152352</v>
      </c>
      <c r="G14" s="4">
        <v>293110</v>
      </c>
      <c r="H14" s="4">
        <v>164808</v>
      </c>
      <c r="I14" s="4">
        <v>271315</v>
      </c>
      <c r="J14" s="4">
        <v>332969</v>
      </c>
      <c r="K14" s="4">
        <v>359076</v>
      </c>
      <c r="L14" s="4">
        <v>274579</v>
      </c>
      <c r="M14" s="4">
        <v>385694</v>
      </c>
      <c r="N14" s="4">
        <v>636418</v>
      </c>
      <c r="O14" s="4">
        <v>772625</v>
      </c>
      <c r="P14" s="4">
        <v>1018364</v>
      </c>
      <c r="Q14" s="4">
        <v>1212122</v>
      </c>
    </row>
    <row r="15" spans="1:17">
      <c r="A15" s="2" t="s">
        <v>124</v>
      </c>
      <c r="B15" s="4">
        <v>18151</v>
      </c>
      <c r="C15" s="4">
        <v>40778</v>
      </c>
      <c r="D15" s="4"/>
      <c r="E15" s="4">
        <v>36711</v>
      </c>
      <c r="F15" s="4">
        <v>49634</v>
      </c>
      <c r="G15" s="4">
        <v>29656</v>
      </c>
      <c r="H15" s="4">
        <v>60209</v>
      </c>
      <c r="I15" s="4">
        <v>79688</v>
      </c>
      <c r="J15" s="4">
        <v>55484</v>
      </c>
      <c r="K15" s="4">
        <v>32899</v>
      </c>
      <c r="L15" s="4">
        <v>0</v>
      </c>
      <c r="M15" s="4">
        <v>0</v>
      </c>
      <c r="N15" s="4"/>
      <c r="P15" s="4"/>
      <c r="Q15" s="4"/>
    </row>
    <row r="16" spans="1:17">
      <c r="A16" s="2" t="s">
        <v>125</v>
      </c>
      <c r="B16" s="4">
        <v>27738</v>
      </c>
      <c r="C16" s="4">
        <v>24603</v>
      </c>
      <c r="D16" s="4"/>
      <c r="E16" s="4">
        <v>24565</v>
      </c>
      <c r="F16" s="4">
        <v>24565</v>
      </c>
      <c r="G16" s="4">
        <v>38180</v>
      </c>
      <c r="H16" s="4">
        <v>99178</v>
      </c>
      <c r="I16" s="4">
        <v>98442</v>
      </c>
      <c r="J16" s="4">
        <v>106914</v>
      </c>
      <c r="K16" s="4">
        <v>118744</v>
      </c>
      <c r="L16" s="4">
        <v>110444</v>
      </c>
      <c r="M16" s="4">
        <v>125044</v>
      </c>
      <c r="N16" s="4">
        <v>151898</v>
      </c>
      <c r="O16" s="4">
        <v>231878</v>
      </c>
      <c r="P16" s="4">
        <v>71842</v>
      </c>
      <c r="Q16" s="4"/>
    </row>
    <row r="17" spans="1:17">
      <c r="A17" s="2" t="s">
        <v>131</v>
      </c>
      <c r="B17" s="4">
        <v>429477</v>
      </c>
      <c r="C17" s="4">
        <v>470866</v>
      </c>
      <c r="D17" s="4"/>
      <c r="E17" s="4">
        <f>519204+91534+100</f>
        <v>610838</v>
      </c>
      <c r="F17" s="4">
        <v>737617</v>
      </c>
      <c r="G17" s="4">
        <v>684687</v>
      </c>
      <c r="H17" s="4">
        <v>884084</v>
      </c>
      <c r="I17" s="4">
        <v>1232782</v>
      </c>
      <c r="J17" s="4">
        <v>1659489</v>
      </c>
      <c r="K17" s="4">
        <v>2044230</v>
      </c>
      <c r="L17" s="4">
        <v>2278784</v>
      </c>
      <c r="M17" s="4">
        <v>2781361</v>
      </c>
      <c r="N17" s="4">
        <v>3585873</v>
      </c>
      <c r="O17" s="4">
        <v>4299914</v>
      </c>
      <c r="P17" s="4">
        <v>1346894</v>
      </c>
      <c r="Q17" s="4"/>
    </row>
    <row r="18" spans="1:17">
      <c r="A18" s="2" t="s">
        <v>135</v>
      </c>
      <c r="B18" s="4">
        <v>0</v>
      </c>
      <c r="C18" s="4">
        <v>382029</v>
      </c>
      <c r="D18" s="4"/>
      <c r="E18" s="4">
        <v>458119</v>
      </c>
      <c r="F18" s="4">
        <v>480756</v>
      </c>
      <c r="G18" s="4">
        <v>562083</v>
      </c>
      <c r="H18" s="4">
        <v>798126</v>
      </c>
      <c r="I18" s="4">
        <v>898400</v>
      </c>
      <c r="J18" s="4">
        <v>1153360</v>
      </c>
      <c r="K18" s="4">
        <v>1304070</v>
      </c>
      <c r="L18" s="4">
        <v>1263982</v>
      </c>
      <c r="M18" s="4">
        <v>1582358</v>
      </c>
      <c r="N18" s="4">
        <v>1770480</v>
      </c>
      <c r="O18" s="4">
        <v>2007311</v>
      </c>
      <c r="P18" s="4">
        <v>750288</v>
      </c>
      <c r="Q18" s="4"/>
    </row>
    <row r="19" spans="1:17">
      <c r="A19" s="2" t="s">
        <v>126</v>
      </c>
      <c r="B19" s="4">
        <v>12426</v>
      </c>
      <c r="C19" s="4">
        <v>16650</v>
      </c>
      <c r="D19" s="4"/>
      <c r="E19" s="4">
        <v>13802</v>
      </c>
      <c r="F19" s="4">
        <v>10557</v>
      </c>
      <c r="G19" s="4">
        <v>6791</v>
      </c>
      <c r="H19" s="4">
        <v>3664</v>
      </c>
      <c r="I19" s="4">
        <v>6411</v>
      </c>
      <c r="J19" s="4">
        <v>0</v>
      </c>
      <c r="K19" s="4">
        <v>1000</v>
      </c>
      <c r="L19" s="4">
        <v>5000</v>
      </c>
      <c r="M19" s="4">
        <v>0</v>
      </c>
      <c r="N19" s="4">
        <v>0</v>
      </c>
      <c r="P19" s="4"/>
      <c r="Q19" s="4"/>
    </row>
    <row r="20" spans="1:17">
      <c r="A20" s="2" t="s">
        <v>136</v>
      </c>
      <c r="B20" s="4">
        <v>0</v>
      </c>
      <c r="C20" s="4">
        <v>101</v>
      </c>
      <c r="D20" s="4"/>
      <c r="E20" s="4">
        <v>2019</v>
      </c>
      <c r="F20" s="4">
        <v>0</v>
      </c>
      <c r="G20" s="4">
        <v>13857</v>
      </c>
      <c r="H20" s="4">
        <v>959</v>
      </c>
      <c r="I20" s="4">
        <v>6778</v>
      </c>
      <c r="J20" s="4">
        <v>11150</v>
      </c>
      <c r="K20" s="4">
        <v>21685</v>
      </c>
      <c r="L20" s="4">
        <v>4091</v>
      </c>
      <c r="M20" s="4">
        <v>0</v>
      </c>
      <c r="N20" s="4">
        <v>1321</v>
      </c>
      <c r="O20" s="4">
        <v>32625</v>
      </c>
      <c r="P20" s="4">
        <v>0</v>
      </c>
      <c r="Q20" s="4"/>
    </row>
    <row r="21" spans="1:17">
      <c r="A21" s="2" t="s">
        <v>81</v>
      </c>
      <c r="B21" s="4">
        <v>0</v>
      </c>
      <c r="C21" s="4">
        <v>0</v>
      </c>
      <c r="D21" s="4"/>
      <c r="E21" s="4">
        <v>0</v>
      </c>
      <c r="F21" s="4">
        <v>115640</v>
      </c>
      <c r="G21" s="4">
        <v>218421</v>
      </c>
      <c r="H21" s="4">
        <v>304521</v>
      </c>
      <c r="I21" s="4">
        <v>336201</v>
      </c>
      <c r="J21" s="4">
        <v>367519</v>
      </c>
      <c r="K21" s="4">
        <v>319468</v>
      </c>
      <c r="L21" s="4">
        <v>330249</v>
      </c>
      <c r="M21" s="4">
        <v>391247</v>
      </c>
      <c r="N21" s="4">
        <v>445105</v>
      </c>
      <c r="O21" s="4">
        <v>462740</v>
      </c>
      <c r="P21" s="4">
        <v>82428</v>
      </c>
      <c r="Q21" s="4"/>
    </row>
    <row r="22" spans="1:17">
      <c r="A22" s="2" t="s">
        <v>84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>
        <v>102126</v>
      </c>
      <c r="O22" s="7">
        <v>110738</v>
      </c>
      <c r="P22" s="4">
        <v>140775</v>
      </c>
      <c r="Q22" s="4">
        <v>132443</v>
      </c>
    </row>
    <row r="23" spans="1:17">
      <c r="A23" s="2" t="s">
        <v>85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>
        <v>2000</v>
      </c>
      <c r="O23" s="7">
        <v>5160</v>
      </c>
      <c r="P23" s="4">
        <v>5160</v>
      </c>
      <c r="Q23" s="4">
        <v>10090</v>
      </c>
    </row>
    <row r="24" spans="1:17">
      <c r="A24" s="3" t="s">
        <v>127</v>
      </c>
      <c r="B24" s="4">
        <f>SUM(B5:B21)</f>
        <v>1984492</v>
      </c>
      <c r="C24" s="4">
        <f>SUM(C5:C21)</f>
        <v>2385896</v>
      </c>
      <c r="D24" s="4"/>
      <c r="E24" s="4">
        <f t="shared" ref="E24:M24" si="0">SUM(E5:E21)</f>
        <v>3160371</v>
      </c>
      <c r="F24" s="4">
        <f t="shared" si="0"/>
        <v>3387325</v>
      </c>
      <c r="G24" s="4">
        <f t="shared" si="0"/>
        <v>3725744</v>
      </c>
      <c r="H24" s="4">
        <f t="shared" si="0"/>
        <v>4498922</v>
      </c>
      <c r="I24" s="4">
        <f t="shared" si="0"/>
        <v>5598890</v>
      </c>
      <c r="J24" s="4">
        <f t="shared" si="0"/>
        <v>7689303</v>
      </c>
      <c r="K24" s="4">
        <f t="shared" si="0"/>
        <v>8848667</v>
      </c>
      <c r="L24" s="4">
        <f t="shared" si="0"/>
        <v>9498258</v>
      </c>
      <c r="M24" s="4">
        <f t="shared" si="0"/>
        <v>11599436</v>
      </c>
      <c r="N24" s="4">
        <f>SUM(N5:N23)</f>
        <v>14279372</v>
      </c>
      <c r="O24" s="4">
        <f>SUM(O5:O23)</f>
        <v>16517515</v>
      </c>
      <c r="P24" s="4">
        <f>SUM(P5:P23)</f>
        <v>6835667</v>
      </c>
      <c r="Q24" s="4">
        <f>SUM(Q5:Q20)</f>
        <v>19424213</v>
      </c>
    </row>
    <row r="25" spans="1:17">
      <c r="A25" s="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s="1" customFormat="1">
      <c r="A26" s="5" t="s">
        <v>88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>
        <v>11393449</v>
      </c>
      <c r="Q26" s="9">
        <v>17336764</v>
      </c>
    </row>
    <row r="27" spans="1:17">
      <c r="A27" s="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>
      <c r="A28" s="5" t="s">
        <v>132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>
      <c r="A29" s="2" t="s">
        <v>128</v>
      </c>
      <c r="B29" s="4">
        <v>-18151</v>
      </c>
      <c r="C29" s="4">
        <v>-42388</v>
      </c>
      <c r="D29" s="4"/>
      <c r="E29" s="4">
        <v>-35102</v>
      </c>
      <c r="F29" s="4">
        <v>-47825</v>
      </c>
      <c r="G29" s="4">
        <v>-28646</v>
      </c>
      <c r="H29" s="4">
        <v>-63036</v>
      </c>
      <c r="I29" s="4">
        <v>-95434</v>
      </c>
      <c r="J29" s="4">
        <v>-29740</v>
      </c>
      <c r="K29" s="4">
        <v>-58643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/>
    </row>
    <row r="30" spans="1:17">
      <c r="A30" s="2" t="s">
        <v>129</v>
      </c>
      <c r="B30" s="4">
        <v>-24315</v>
      </c>
      <c r="C30" s="4">
        <v>-19082</v>
      </c>
      <c r="D30" s="4"/>
      <c r="E30" s="4">
        <v>-19715</v>
      </c>
      <c r="F30" s="4">
        <v>-31725</v>
      </c>
      <c r="G30" s="4">
        <v>-13370</v>
      </c>
      <c r="H30" s="4">
        <v>-63278</v>
      </c>
      <c r="I30" s="4">
        <v>-23309</v>
      </c>
      <c r="J30" s="4">
        <v>-34154</v>
      </c>
      <c r="K30" s="4">
        <v>-35700</v>
      </c>
      <c r="L30" s="4">
        <v>-53610</v>
      </c>
      <c r="M30" s="4">
        <v>-67900</v>
      </c>
      <c r="N30" s="4">
        <v>-73080</v>
      </c>
      <c r="O30" s="4">
        <v>-97249</v>
      </c>
      <c r="P30" s="4">
        <v>-77530</v>
      </c>
      <c r="Q30" s="4"/>
    </row>
    <row r="31" spans="1:17">
      <c r="A31" s="2" t="s">
        <v>130</v>
      </c>
      <c r="B31" s="4">
        <v>-539261</v>
      </c>
      <c r="C31" s="4">
        <v>-810025</v>
      </c>
      <c r="D31" s="4"/>
      <c r="E31" s="4">
        <v>-922803</v>
      </c>
      <c r="F31" s="4">
        <v>-1076210</v>
      </c>
      <c r="G31" s="4">
        <v>-1312459</v>
      </c>
      <c r="H31" s="4">
        <v>-1864644</v>
      </c>
      <c r="I31" s="4">
        <v>-2699596</v>
      </c>
      <c r="J31" s="4">
        <v>-2913574</v>
      </c>
      <c r="K31" s="4">
        <v>-3305500</v>
      </c>
      <c r="L31" s="4">
        <v>-4392613</v>
      </c>
      <c r="M31" s="4">
        <v>-4951233</v>
      </c>
      <c r="N31" s="4">
        <v>-5198292</v>
      </c>
      <c r="O31" s="4">
        <v>-6243100</v>
      </c>
      <c r="P31" s="4">
        <v>-1540288</v>
      </c>
      <c r="Q31" s="4"/>
    </row>
    <row r="32" spans="1:17">
      <c r="A32" s="2" t="s">
        <v>80</v>
      </c>
      <c r="B32" s="4">
        <v>-1522238</v>
      </c>
      <c r="C32" s="4">
        <v>-1783951</v>
      </c>
      <c r="D32" s="4"/>
      <c r="E32" s="4">
        <v>-2200132</v>
      </c>
      <c r="F32" s="4">
        <v>-3104222</v>
      </c>
      <c r="G32" s="4">
        <v>-3483100</v>
      </c>
      <c r="H32" s="4">
        <v>-3905341</v>
      </c>
      <c r="I32" s="4">
        <v>-4816783</v>
      </c>
      <c r="J32" s="4">
        <v>-5947625</v>
      </c>
      <c r="K32" s="4">
        <v>-7472343</v>
      </c>
      <c r="L32" s="4">
        <v>-9168202</v>
      </c>
      <c r="M32" s="4">
        <v>-10634082</v>
      </c>
      <c r="N32" s="4">
        <v>-11835366</v>
      </c>
      <c r="O32" s="4">
        <v>-13704788</v>
      </c>
      <c r="P32" s="4">
        <v>-3377822</v>
      </c>
      <c r="Q32" s="4">
        <v>-151204</v>
      </c>
    </row>
    <row r="33" spans="1:17">
      <c r="A33" s="2" t="s">
        <v>86</v>
      </c>
      <c r="B33" s="4">
        <v>0</v>
      </c>
      <c r="C33" s="4">
        <v>0</v>
      </c>
      <c r="D33" s="4"/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-14949</v>
      </c>
      <c r="N33" s="4">
        <v>-468169</v>
      </c>
      <c r="O33" s="4">
        <v>-505335</v>
      </c>
      <c r="P33" s="4">
        <v>-97604</v>
      </c>
      <c r="Q33" s="4">
        <v>-39120</v>
      </c>
    </row>
    <row r="34" spans="1:17">
      <c r="A34" s="2" t="s">
        <v>77</v>
      </c>
      <c r="B34" s="7">
        <v>0</v>
      </c>
      <c r="C34" s="7">
        <v>-112861</v>
      </c>
      <c r="D34" s="7"/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</row>
    <row r="35" spans="1:17">
      <c r="A35" s="2" t="s">
        <v>82</v>
      </c>
      <c r="B35" s="7">
        <v>0</v>
      </c>
      <c r="C35" s="7">
        <v>0</v>
      </c>
      <c r="D35" s="7"/>
      <c r="E35" s="4">
        <v>0</v>
      </c>
      <c r="F35" s="4">
        <v>0</v>
      </c>
      <c r="G35" s="4">
        <v>0</v>
      </c>
      <c r="H35" s="4">
        <v>0</v>
      </c>
      <c r="I35" s="4">
        <v>-43800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</row>
    <row r="36" spans="1:17">
      <c r="A36" s="6" t="s">
        <v>134</v>
      </c>
      <c r="B36" s="7">
        <f>SUM(B29:B35)</f>
        <v>-2103965</v>
      </c>
      <c r="C36" s="7">
        <f>SUM(C29:C35)</f>
        <v>-2768307</v>
      </c>
      <c r="D36" s="7"/>
      <c r="E36" s="7">
        <f t="shared" ref="E36:L36" si="1">SUM(E29:E35)</f>
        <v>-3177752</v>
      </c>
      <c r="F36" s="7">
        <f t="shared" si="1"/>
        <v>-4259982</v>
      </c>
      <c r="G36" s="7">
        <f t="shared" si="1"/>
        <v>-4837575</v>
      </c>
      <c r="H36" s="7">
        <f t="shared" si="1"/>
        <v>-5896299</v>
      </c>
      <c r="I36" s="7">
        <f t="shared" si="1"/>
        <v>-7678922</v>
      </c>
      <c r="J36" s="7">
        <f t="shared" si="1"/>
        <v>-8925093</v>
      </c>
      <c r="K36" s="7">
        <f t="shared" si="1"/>
        <v>-10872186</v>
      </c>
      <c r="L36" s="7">
        <f t="shared" si="1"/>
        <v>-13614425</v>
      </c>
      <c r="M36" s="7">
        <f>SUM(M30:M35)</f>
        <v>-15668164</v>
      </c>
      <c r="N36" s="7">
        <f>SUM(N30:N34)</f>
        <v>-17574907</v>
      </c>
      <c r="O36" s="7">
        <f>SUM(O29:O35)</f>
        <v>-20550472</v>
      </c>
      <c r="P36" s="7">
        <f>SUM(P29:P35)</f>
        <v>-5093244</v>
      </c>
      <c r="Q36" s="7">
        <f>SUM(Q29:Q35)</f>
        <v>-190324</v>
      </c>
    </row>
    <row r="37" spans="1:17" s="1" customFormat="1">
      <c r="A37" s="5" t="s">
        <v>133</v>
      </c>
      <c r="B37" s="8">
        <f>B36+B24</f>
        <v>-119473</v>
      </c>
      <c r="C37" s="8">
        <f>C36+C24</f>
        <v>-382411</v>
      </c>
      <c r="D37" s="8"/>
      <c r="E37" s="8">
        <f t="shared" ref="E37:Q37" si="2">E36+E24</f>
        <v>-17381</v>
      </c>
      <c r="F37" s="8">
        <f t="shared" si="2"/>
        <v>-872657</v>
      </c>
      <c r="G37" s="8">
        <f t="shared" si="2"/>
        <v>-1111831</v>
      </c>
      <c r="H37" s="8">
        <f t="shared" si="2"/>
        <v>-1397377</v>
      </c>
      <c r="I37" s="8">
        <f t="shared" si="2"/>
        <v>-2080032</v>
      </c>
      <c r="J37" s="8">
        <f t="shared" si="2"/>
        <v>-1235790</v>
      </c>
      <c r="K37" s="8">
        <f t="shared" si="2"/>
        <v>-2023519</v>
      </c>
      <c r="L37" s="8">
        <f t="shared" si="2"/>
        <v>-4116167</v>
      </c>
      <c r="M37" s="8">
        <f t="shared" si="2"/>
        <v>-4068728</v>
      </c>
      <c r="N37" s="8">
        <f t="shared" si="2"/>
        <v>-3295535</v>
      </c>
      <c r="O37" s="8">
        <f t="shared" si="2"/>
        <v>-4032957</v>
      </c>
      <c r="P37" s="8">
        <f t="shared" si="2"/>
        <v>1742423</v>
      </c>
      <c r="Q37" s="8">
        <f t="shared" si="2"/>
        <v>19233889</v>
      </c>
    </row>
    <row r="39" spans="1:17">
      <c r="A39" t="s">
        <v>78</v>
      </c>
      <c r="N39" t="s">
        <v>60</v>
      </c>
    </row>
    <row r="40" spans="1:17">
      <c r="A40" t="s">
        <v>79</v>
      </c>
      <c r="M40" t="s">
        <v>60</v>
      </c>
      <c r="N40" t="s">
        <v>60</v>
      </c>
      <c r="O40" t="s">
        <v>61</v>
      </c>
      <c r="P40" t="s">
        <v>62</v>
      </c>
      <c r="Q40" t="s">
        <v>60</v>
      </c>
    </row>
    <row r="41" spans="1:17">
      <c r="L41" t="s">
        <v>63</v>
      </c>
      <c r="N41" t="s">
        <v>60</v>
      </c>
      <c r="O41" t="s">
        <v>60</v>
      </c>
      <c r="P41" t="s">
        <v>65</v>
      </c>
    </row>
    <row r="42" spans="1:17" s="15" customFormat="1" ht="10.5">
      <c r="A42" s="14" t="s">
        <v>67</v>
      </c>
      <c r="B42" s="15">
        <f>B36</f>
        <v>-2103965</v>
      </c>
      <c r="C42" s="15">
        <f t="shared" ref="C42:Q42" si="3">C36</f>
        <v>-2768307</v>
      </c>
      <c r="E42" s="15">
        <f t="shared" si="3"/>
        <v>-3177752</v>
      </c>
      <c r="F42" s="15">
        <f t="shared" si="3"/>
        <v>-4259982</v>
      </c>
      <c r="G42" s="15">
        <f t="shared" si="3"/>
        <v>-4837575</v>
      </c>
      <c r="H42" s="15">
        <f t="shared" si="3"/>
        <v>-5896299</v>
      </c>
      <c r="I42" s="15">
        <f t="shared" si="3"/>
        <v>-7678922</v>
      </c>
      <c r="J42" s="15">
        <f t="shared" si="3"/>
        <v>-8925093</v>
      </c>
      <c r="K42" s="15">
        <f t="shared" si="3"/>
        <v>-10872186</v>
      </c>
      <c r="L42" s="15">
        <f t="shared" si="3"/>
        <v>-13614425</v>
      </c>
      <c r="M42" s="15">
        <f t="shared" si="3"/>
        <v>-15668164</v>
      </c>
      <c r="N42" s="15">
        <f t="shared" si="3"/>
        <v>-17574907</v>
      </c>
      <c r="O42" s="15">
        <f t="shared" si="3"/>
        <v>-20550472</v>
      </c>
      <c r="P42" s="15">
        <f t="shared" si="3"/>
        <v>-5093244</v>
      </c>
      <c r="Q42" s="15">
        <f t="shared" si="3"/>
        <v>-190324</v>
      </c>
    </row>
    <row r="43" spans="1:17" s="15" customFormat="1" ht="10.5">
      <c r="A43" s="14" t="s">
        <v>69</v>
      </c>
      <c r="B43" s="15">
        <f>-(B42+B36)</f>
        <v>4207930</v>
      </c>
      <c r="C43" s="15">
        <f>-(C42+C36)</f>
        <v>5536614</v>
      </c>
      <c r="E43" s="15">
        <f t="shared" ref="E43:Q43" si="4">-(E42+E36)</f>
        <v>6355504</v>
      </c>
      <c r="F43" s="15">
        <f t="shared" si="4"/>
        <v>8519964</v>
      </c>
      <c r="G43" s="15">
        <f t="shared" si="4"/>
        <v>9675150</v>
      </c>
      <c r="H43" s="15">
        <f t="shared" si="4"/>
        <v>11792598</v>
      </c>
      <c r="I43" s="15">
        <f t="shared" si="4"/>
        <v>15357844</v>
      </c>
      <c r="J43" s="15">
        <f t="shared" si="4"/>
        <v>17850186</v>
      </c>
      <c r="K43" s="15">
        <f t="shared" si="4"/>
        <v>21744372</v>
      </c>
      <c r="L43" s="15">
        <f t="shared" si="4"/>
        <v>27228850</v>
      </c>
      <c r="M43" s="15">
        <f t="shared" si="4"/>
        <v>31336328</v>
      </c>
      <c r="N43" s="15">
        <f t="shared" si="4"/>
        <v>35149814</v>
      </c>
      <c r="O43" s="15">
        <f t="shared" si="4"/>
        <v>41100944</v>
      </c>
      <c r="P43" s="15">
        <f t="shared" si="4"/>
        <v>10186488</v>
      </c>
      <c r="Q43" s="15">
        <f t="shared" si="4"/>
        <v>380648</v>
      </c>
    </row>
    <row r="44" spans="1:17" s="14" customFormat="1" ht="10.5">
      <c r="A44" s="14" t="s">
        <v>28</v>
      </c>
      <c r="B44" s="14">
        <f>B43-B24</f>
        <v>2223438</v>
      </c>
      <c r="C44" s="14">
        <f>C43-C24</f>
        <v>3150718</v>
      </c>
      <c r="E44" s="14">
        <f t="shared" ref="E44:Q44" si="5">E43-E24</f>
        <v>3195133</v>
      </c>
      <c r="F44" s="14">
        <f t="shared" si="5"/>
        <v>5132639</v>
      </c>
      <c r="G44" s="14">
        <f t="shared" si="5"/>
        <v>5949406</v>
      </c>
      <c r="H44" s="14">
        <f t="shared" si="5"/>
        <v>7293676</v>
      </c>
      <c r="I44" s="14">
        <f t="shared" si="5"/>
        <v>9758954</v>
      </c>
      <c r="J44" s="14">
        <f t="shared" si="5"/>
        <v>10160883</v>
      </c>
      <c r="K44" s="14">
        <f t="shared" si="5"/>
        <v>12895705</v>
      </c>
      <c r="L44" s="14">
        <f t="shared" si="5"/>
        <v>17730592</v>
      </c>
      <c r="M44" s="14">
        <f t="shared" si="5"/>
        <v>19736892</v>
      </c>
      <c r="N44" s="14">
        <f t="shared" si="5"/>
        <v>20870442</v>
      </c>
      <c r="O44" s="14">
        <f t="shared" si="5"/>
        <v>24583429</v>
      </c>
      <c r="P44" s="14">
        <f t="shared" si="5"/>
        <v>3350821</v>
      </c>
      <c r="Q44" s="14">
        <f t="shared" si="5"/>
        <v>-19043565</v>
      </c>
    </row>
    <row r="45" spans="1:17" s="15" customFormat="1" ht="10.5">
      <c r="A45" s="14"/>
    </row>
    <row r="46" spans="1:17" s="14" customFormat="1" ht="10.5"/>
    <row r="47" spans="1:17" s="14" customFormat="1" ht="10.5"/>
    <row r="48" spans="1:17" s="27" customFormat="1">
      <c r="A48" s="27" t="s">
        <v>35</v>
      </c>
      <c r="B48" s="27">
        <v>1967</v>
      </c>
      <c r="C48" s="27">
        <v>1968</v>
      </c>
      <c r="E48" s="27">
        <v>1969</v>
      </c>
      <c r="F48" s="27">
        <v>1970</v>
      </c>
      <c r="G48" s="27">
        <v>1971</v>
      </c>
      <c r="H48" s="27">
        <v>1972</v>
      </c>
      <c r="I48" s="27">
        <v>1973</v>
      </c>
      <c r="J48" s="27">
        <v>1974</v>
      </c>
      <c r="K48" s="27">
        <v>1975</v>
      </c>
      <c r="L48" s="27">
        <v>1976</v>
      </c>
      <c r="M48" s="27">
        <v>1977</v>
      </c>
      <c r="N48" s="27">
        <v>1978</v>
      </c>
      <c r="O48" s="27">
        <v>1979</v>
      </c>
      <c r="P48" s="27">
        <v>1980</v>
      </c>
      <c r="Q48" s="27" t="s">
        <v>19</v>
      </c>
    </row>
    <row r="49" spans="1:17" s="20" customFormat="1">
      <c r="A49" s="19" t="s">
        <v>21</v>
      </c>
      <c r="N49" s="20" t="s">
        <v>60</v>
      </c>
      <c r="P49" s="20" t="s">
        <v>64</v>
      </c>
    </row>
    <row r="50" spans="1:17" s="23" customFormat="1" ht="10.5">
      <c r="A50" s="24" t="s">
        <v>36</v>
      </c>
      <c r="B50" s="22">
        <f>B44</f>
        <v>2223438</v>
      </c>
      <c r="C50" s="22">
        <f t="shared" ref="C50:Q50" si="6">C44</f>
        <v>3150718</v>
      </c>
      <c r="D50" s="22"/>
      <c r="E50" s="22">
        <f t="shared" si="6"/>
        <v>3195133</v>
      </c>
      <c r="F50" s="22">
        <f t="shared" si="6"/>
        <v>5132639</v>
      </c>
      <c r="G50" s="22">
        <f t="shared" si="6"/>
        <v>5949406</v>
      </c>
      <c r="H50" s="22">
        <f t="shared" si="6"/>
        <v>7293676</v>
      </c>
      <c r="I50" s="22">
        <f t="shared" si="6"/>
        <v>9758954</v>
      </c>
      <c r="J50" s="22">
        <f t="shared" si="6"/>
        <v>10160883</v>
      </c>
      <c r="K50" s="22">
        <f t="shared" si="6"/>
        <v>12895705</v>
      </c>
      <c r="L50" s="22">
        <f t="shared" si="6"/>
        <v>17730592</v>
      </c>
      <c r="M50" s="22">
        <f t="shared" si="6"/>
        <v>19736892</v>
      </c>
      <c r="N50" s="22">
        <f t="shared" si="6"/>
        <v>20870442</v>
      </c>
      <c r="O50" s="22">
        <f t="shared" si="6"/>
        <v>24583429</v>
      </c>
      <c r="P50" s="22">
        <f t="shared" si="6"/>
        <v>3350821</v>
      </c>
      <c r="Q50" s="22">
        <f t="shared" si="6"/>
        <v>-19043565</v>
      </c>
    </row>
    <row r="51" spans="1:17" s="23" customFormat="1" ht="10.5">
      <c r="A51" s="21" t="s">
        <v>9</v>
      </c>
      <c r="B51" s="22">
        <f>B44*0.75</f>
        <v>1667578.5</v>
      </c>
      <c r="C51" s="22">
        <f>C44*0.75</f>
        <v>2363038.5</v>
      </c>
      <c r="D51" s="22"/>
      <c r="E51" s="22">
        <f t="shared" ref="E51:Q51" si="7">E44*0.75</f>
        <v>2396349.75</v>
      </c>
      <c r="F51" s="22">
        <f t="shared" si="7"/>
        <v>3849479.25</v>
      </c>
      <c r="G51" s="22">
        <f t="shared" si="7"/>
        <v>4462054.5</v>
      </c>
      <c r="H51" s="22">
        <f t="shared" si="7"/>
        <v>5470257</v>
      </c>
      <c r="I51" s="22">
        <f t="shared" si="7"/>
        <v>7319215.5</v>
      </c>
      <c r="J51" s="22">
        <f t="shared" si="7"/>
        <v>7620662.25</v>
      </c>
      <c r="K51" s="22">
        <f t="shared" si="7"/>
        <v>9671778.75</v>
      </c>
      <c r="L51" s="22">
        <f t="shared" si="7"/>
        <v>13297944</v>
      </c>
      <c r="M51" s="22">
        <f t="shared" si="7"/>
        <v>14802669</v>
      </c>
      <c r="N51" s="22">
        <f t="shared" si="7"/>
        <v>15652831.5</v>
      </c>
      <c r="O51" s="22">
        <f t="shared" si="7"/>
        <v>18437571.75</v>
      </c>
      <c r="P51" s="22">
        <f t="shared" si="7"/>
        <v>2513115.75</v>
      </c>
      <c r="Q51" s="22">
        <f t="shared" si="7"/>
        <v>-14282673.75</v>
      </c>
    </row>
    <row r="52" spans="1:17" s="23" customFormat="1" ht="10.5">
      <c r="A52" s="21" t="s">
        <v>4</v>
      </c>
      <c r="B52" s="22">
        <v>0</v>
      </c>
      <c r="C52" s="22">
        <f>B50*0.25</f>
        <v>555859.5</v>
      </c>
      <c r="D52" s="22"/>
      <c r="E52" s="22">
        <f>C50*0.25</f>
        <v>787679.5</v>
      </c>
      <c r="F52" s="22">
        <f>E50*0.25</f>
        <v>798783.25</v>
      </c>
      <c r="G52" s="22">
        <f t="shared" ref="G52:Q52" si="8">F50*0.25</f>
        <v>1283159.75</v>
      </c>
      <c r="H52" s="22">
        <f t="shared" si="8"/>
        <v>1487351.5</v>
      </c>
      <c r="I52" s="22">
        <f t="shared" si="8"/>
        <v>1823419</v>
      </c>
      <c r="J52" s="22">
        <f t="shared" si="8"/>
        <v>2439738.5</v>
      </c>
      <c r="K52" s="22">
        <f t="shared" si="8"/>
        <v>2540220.75</v>
      </c>
      <c r="L52" s="22">
        <f t="shared" si="8"/>
        <v>3223926.25</v>
      </c>
      <c r="M52" s="22">
        <f t="shared" si="8"/>
        <v>4432648</v>
      </c>
      <c r="N52" s="22">
        <f t="shared" si="8"/>
        <v>4934223</v>
      </c>
      <c r="O52" s="22">
        <f t="shared" si="8"/>
        <v>5217610.5</v>
      </c>
      <c r="P52" s="22">
        <f t="shared" si="8"/>
        <v>6145857.25</v>
      </c>
      <c r="Q52" s="22">
        <f t="shared" si="8"/>
        <v>837705.25</v>
      </c>
    </row>
    <row r="53" spans="1:17" s="22" customFormat="1" ht="10.5">
      <c r="A53" s="24" t="s">
        <v>27</v>
      </c>
    </row>
    <row r="54" spans="1:17" s="22" customFormat="1" ht="10.5">
      <c r="A54" s="32" t="s">
        <v>11</v>
      </c>
    </row>
    <row r="55" spans="1:17" s="22" customFormat="1" ht="10.5">
      <c r="A55" s="22" t="s">
        <v>8</v>
      </c>
      <c r="C55" s="22">
        <f>B69*0.45*C72</f>
        <v>168467.11796250002</v>
      </c>
      <c r="E55" s="22">
        <f>C69*0.45*(1+E72)+E52*0.45*(1+E72*0.75)</f>
        <v>2511255.9722546968</v>
      </c>
      <c r="F55" s="22">
        <f t="shared" ref="F55:Q55" si="9">E69*0.45*(1+F72)+F52*0.45*(1+F72*0.75)</f>
        <v>3801414.4464791948</v>
      </c>
      <c r="G55" s="22">
        <f t="shared" si="9"/>
        <v>6957338.4421706414</v>
      </c>
      <c r="H55" s="22">
        <f t="shared" si="9"/>
        <v>12337470.204386411</v>
      </c>
      <c r="I55" s="22">
        <f t="shared" si="9"/>
        <v>14555069.798452646</v>
      </c>
      <c r="J55" s="22">
        <f t="shared" si="9"/>
        <v>14092460.732190609</v>
      </c>
      <c r="K55" s="22">
        <f t="shared" si="9"/>
        <v>24752153.514289256</v>
      </c>
      <c r="L55" s="22">
        <f t="shared" si="9"/>
        <v>33177696.14948912</v>
      </c>
      <c r="M55" s="22">
        <f t="shared" si="9"/>
        <v>46649979.796925113</v>
      </c>
      <c r="N55" s="22">
        <f t="shared" si="9"/>
        <v>70624249.073127151</v>
      </c>
      <c r="O55" s="22">
        <f t="shared" si="9"/>
        <v>105525129.1398917</v>
      </c>
      <c r="P55" s="22">
        <f t="shared" si="9"/>
        <v>131259158.33719507</v>
      </c>
      <c r="Q55" s="22">
        <f t="shared" si="9"/>
        <v>109196519.28392436</v>
      </c>
    </row>
    <row r="56" spans="1:17" s="22" customFormat="1" ht="10.5">
      <c r="A56" s="22" t="s">
        <v>10</v>
      </c>
      <c r="C56" s="22">
        <f>C52*0.45*C72*0.75</f>
        <v>42116.779490624998</v>
      </c>
    </row>
    <row r="57" spans="1:17" s="22" customFormat="1" ht="12.95" customHeight="1">
      <c r="A57" s="32" t="s">
        <v>12</v>
      </c>
      <c r="E57" s="22">
        <f>C69*0.24*(1+E73)+E52*0.24*(1+E73*0.75)</f>
        <v>1323704.9942063391</v>
      </c>
      <c r="F57" s="22">
        <f t="shared" ref="F57:Q57" si="10">E69*0.24*(1+F73)+F52*0.24*(1+F73*0.75)</f>
        <v>2551905.8748097108</v>
      </c>
      <c r="G57" s="22">
        <f t="shared" si="10"/>
        <v>3829670.5112672159</v>
      </c>
      <c r="H57" s="22">
        <f t="shared" si="10"/>
        <v>5241376.642297891</v>
      </c>
      <c r="I57" s="22">
        <f t="shared" si="10"/>
        <v>7872614.6355380109</v>
      </c>
      <c r="J57" s="22">
        <f t="shared" si="10"/>
        <v>9927737.8889674358</v>
      </c>
      <c r="K57" s="22">
        <f t="shared" si="10"/>
        <v>11476442.305854302</v>
      </c>
      <c r="L57" s="22">
        <f t="shared" si="10"/>
        <v>18955901.577311929</v>
      </c>
      <c r="M57" s="22">
        <f t="shared" si="10"/>
        <v>23826150.332104437</v>
      </c>
      <c r="N57" s="22">
        <f t="shared" si="10"/>
        <v>29476047.627113458</v>
      </c>
      <c r="O57" s="22">
        <f t="shared" si="10"/>
        <v>37959445.055640772</v>
      </c>
      <c r="P57" s="22">
        <f t="shared" si="10"/>
        <v>54983857.368713222</v>
      </c>
      <c r="Q57" s="22">
        <f t="shared" si="10"/>
        <v>62925590.769305944</v>
      </c>
    </row>
    <row r="58" spans="1:17" s="22" customFormat="1" ht="12.95" customHeight="1">
      <c r="A58" s="22" t="s">
        <v>8</v>
      </c>
      <c r="C58" s="22">
        <f>B69*0.24*C73</f>
        <v>-3201.75072</v>
      </c>
    </row>
    <row r="59" spans="1:17" s="22" customFormat="1" ht="12.95" customHeight="1">
      <c r="A59" s="22" t="s">
        <v>10</v>
      </c>
      <c r="C59" s="22">
        <f>C52*0.24*C73*0.75</f>
        <v>-800.43768</v>
      </c>
    </row>
    <row r="60" spans="1:17" s="22" customFormat="1" ht="10.5">
      <c r="A60" s="32" t="s">
        <v>13</v>
      </c>
      <c r="E60" s="22">
        <f>C69*0.09*(1+E74)+E52*0.09*(1+E74*0.75)</f>
        <v>490820.6422849932</v>
      </c>
      <c r="F60" s="22">
        <f t="shared" ref="F60:Q60" si="11">E69*0.09*(1+F74)+F52*0.09*(1+F74*0.75)</f>
        <v>879138.74856865592</v>
      </c>
      <c r="G60" s="22">
        <f t="shared" si="11"/>
        <v>1465772.789248944</v>
      </c>
      <c r="H60" s="22">
        <f t="shared" si="11"/>
        <v>2114752.8841095814</v>
      </c>
      <c r="I60" s="22">
        <f t="shared" si="11"/>
        <v>3099923.0492732301</v>
      </c>
      <c r="J60" s="22">
        <f t="shared" si="11"/>
        <v>3953854.4801579076</v>
      </c>
      <c r="K60" s="22">
        <f t="shared" si="11"/>
        <v>4691063.9606062258</v>
      </c>
      <c r="L60" s="22">
        <f t="shared" si="11"/>
        <v>6824117.6197084906</v>
      </c>
      <c r="M60" s="22">
        <f t="shared" si="11"/>
        <v>9655985.6802177858</v>
      </c>
      <c r="N60" s="22">
        <f t="shared" si="11"/>
        <v>11653091.984235127</v>
      </c>
      <c r="O60" s="22">
        <f t="shared" si="11"/>
        <v>15435161.951950882</v>
      </c>
      <c r="P60" s="22">
        <f t="shared" si="11"/>
        <v>21831010.151714068</v>
      </c>
      <c r="Q60" s="22">
        <f t="shared" si="11"/>
        <v>26757719.617627099</v>
      </c>
    </row>
    <row r="61" spans="1:17" s="22" customFormat="1" ht="10.5">
      <c r="A61" s="22" t="s">
        <v>8</v>
      </c>
      <c r="C61" s="22">
        <f>B69*0.09*C74</f>
        <v>4457.4373305000008</v>
      </c>
    </row>
    <row r="62" spans="1:17" s="22" customFormat="1" ht="10.5">
      <c r="A62" s="22" t="s">
        <v>10</v>
      </c>
      <c r="C62" s="22">
        <f>C52*0.09*C74*0.75</f>
        <v>1114.3593326250002</v>
      </c>
    </row>
    <row r="63" spans="1:17" s="22" customFormat="1" ht="10.5">
      <c r="A63" s="32" t="s">
        <v>14</v>
      </c>
      <c r="E63" s="22">
        <f>C69*0.11*(1+E75)+E52*0.11*(1+E75*0.75)</f>
        <v>663058.45173259906</v>
      </c>
      <c r="F63" s="22">
        <f t="shared" ref="F63:Q63" si="12">E69*0.11*(1+F75)+F52*0.11*(1+F75*0.75)</f>
        <v>1024637.510515942</v>
      </c>
      <c r="G63" s="22">
        <f t="shared" si="12"/>
        <v>1635614.9547976498</v>
      </c>
      <c r="H63" s="22">
        <f t="shared" si="12"/>
        <v>2460217.3265077737</v>
      </c>
      <c r="I63" s="22">
        <f t="shared" si="12"/>
        <v>3739468.5757206874</v>
      </c>
      <c r="J63" s="22">
        <f t="shared" si="12"/>
        <v>5002583.8050745958</v>
      </c>
      <c r="K63" s="22">
        <f t="shared" si="12"/>
        <v>5499303.2532582339</v>
      </c>
      <c r="L63" s="22">
        <f t="shared" si="12"/>
        <v>7995944.9377291966</v>
      </c>
      <c r="M63" s="22">
        <f t="shared" si="12"/>
        <v>11112911.294829288</v>
      </c>
      <c r="N63" s="22">
        <f t="shared" si="12"/>
        <v>14518628.123120481</v>
      </c>
      <c r="O63" s="22">
        <f t="shared" si="12"/>
        <v>20084253.306873906</v>
      </c>
      <c r="P63" s="22">
        <f t="shared" si="12"/>
        <v>28060744.823558714</v>
      </c>
      <c r="Q63" s="22">
        <f t="shared" si="12"/>
        <v>35794266.543367423</v>
      </c>
    </row>
    <row r="64" spans="1:17" s="22" customFormat="1" ht="10.5">
      <c r="A64" s="22" t="s">
        <v>8</v>
      </c>
      <c r="C64" s="22">
        <f>B69*0.11*C75</f>
        <v>11868.1561845</v>
      </c>
    </row>
    <row r="65" spans="1:17" s="22" customFormat="1" ht="10.5">
      <c r="A65" s="22" t="s">
        <v>10</v>
      </c>
      <c r="C65" s="22">
        <f>C52*0.11*C75*0.75</f>
        <v>2967.0390461249999</v>
      </c>
    </row>
    <row r="66" spans="1:17" s="22" customFormat="1" ht="10.5">
      <c r="A66" s="32" t="s">
        <v>15</v>
      </c>
      <c r="E66" s="22">
        <f>C69*0.11*(1+E76)+E52*0.11*(1+E76*0.75)</f>
        <v>568965.35944919812</v>
      </c>
      <c r="F66" s="22">
        <f t="shared" ref="F66:Q66" si="13">E69*0.11*(1+F76)+F52*0.11*(1+F76*0.75)</f>
        <v>948239.94754639664</v>
      </c>
      <c r="G66" s="22">
        <f t="shared" si="13"/>
        <v>1765596.3167776135</v>
      </c>
      <c r="H66" s="22">
        <f t="shared" si="13"/>
        <v>2811238.726823193</v>
      </c>
      <c r="I66" s="22">
        <f t="shared" si="13"/>
        <v>3040155.1126173162</v>
      </c>
      <c r="J66" s="22">
        <f t="shared" si="13"/>
        <v>3386909.3525218796</v>
      </c>
      <c r="K66" s="22">
        <f t="shared" si="13"/>
        <v>7175183.1943462156</v>
      </c>
      <c r="L66" s="22">
        <f t="shared" si="13"/>
        <v>9060943.2004913557</v>
      </c>
      <c r="M66" s="22">
        <f t="shared" si="13"/>
        <v>10286496.31911201</v>
      </c>
      <c r="N66" s="22">
        <f t="shared" si="13"/>
        <v>15242198.257230463</v>
      </c>
      <c r="O66" s="22">
        <f t="shared" si="13"/>
        <v>20918810.105126653</v>
      </c>
      <c r="P66" s="22">
        <f t="shared" si="13"/>
        <v>33375675.093914069</v>
      </c>
      <c r="Q66" s="22">
        <f t="shared" si="13"/>
        <v>27982124.763403885</v>
      </c>
    </row>
    <row r="67" spans="1:17" s="22" customFormat="1" ht="10.5">
      <c r="A67" s="22" t="s">
        <v>8</v>
      </c>
      <c r="C67" s="22">
        <f>B69*0.11*C76</f>
        <v>18710.230769999998</v>
      </c>
    </row>
    <row r="68" spans="1:17" s="22" customFormat="1" ht="10.5">
      <c r="A68" s="22" t="s">
        <v>10</v>
      </c>
      <c r="C68" s="22">
        <f>C52*0.11*C76*0.75</f>
        <v>4677.5576924999996</v>
      </c>
    </row>
    <row r="69" spans="1:17" s="24" customFormat="1" ht="10.5">
      <c r="A69" s="24" t="s">
        <v>17</v>
      </c>
      <c r="B69" s="24">
        <f>B51</f>
        <v>1667578.5</v>
      </c>
      <c r="C69" s="24">
        <f>SUM(C55:C68)+C51+B69+C52</f>
        <v>4836852.989409375</v>
      </c>
      <c r="E69" s="24">
        <f t="shared" ref="E69:O69" si="14">SUM(E55:E66)+E51</f>
        <v>7954155.1699278271</v>
      </c>
      <c r="F69" s="24">
        <f t="shared" si="14"/>
        <v>13054815.777919902</v>
      </c>
      <c r="G69" s="24">
        <f t="shared" si="14"/>
        <v>20116047.514262065</v>
      </c>
      <c r="H69" s="24">
        <f t="shared" si="14"/>
        <v>30435312.784124851</v>
      </c>
      <c r="I69" s="24">
        <f t="shared" si="14"/>
        <v>39626446.671601892</v>
      </c>
      <c r="J69" s="24">
        <f t="shared" si="14"/>
        <v>43984208.508912429</v>
      </c>
      <c r="K69" s="24">
        <f t="shared" si="14"/>
        <v>63265924.978354231</v>
      </c>
      <c r="L69" s="24">
        <f t="shared" si="14"/>
        <v>89312547.484730095</v>
      </c>
      <c r="M69" s="24">
        <f t="shared" si="14"/>
        <v>116334192.42318863</v>
      </c>
      <c r="N69" s="24">
        <f t="shared" si="14"/>
        <v>157167046.5648267</v>
      </c>
      <c r="O69" s="24">
        <f t="shared" si="14"/>
        <v>218360371.30948392</v>
      </c>
      <c r="P69" s="24">
        <f>SUM(P55:P66)</f>
        <v>269510445.77509516</v>
      </c>
      <c r="Q69" s="24">
        <f>SUM(Q55:Q66)+Q51</f>
        <v>248373547.22762868</v>
      </c>
    </row>
    <row r="70" spans="1:17" s="15" customFormat="1" ht="12" customHeight="1">
      <c r="C70" s="29"/>
      <c r="D70" s="29"/>
      <c r="E70" s="13"/>
      <c r="P70" s="14" t="s">
        <v>20</v>
      </c>
    </row>
    <row r="71" spans="1:17" s="14" customFormat="1">
      <c r="A71" s="16" t="s">
        <v>34</v>
      </c>
      <c r="B71" s="16">
        <v>1967</v>
      </c>
      <c r="C71" s="16">
        <v>1968</v>
      </c>
      <c r="D71" s="16"/>
      <c r="E71" s="16">
        <v>1969</v>
      </c>
      <c r="F71" s="16">
        <v>1970</v>
      </c>
      <c r="G71" s="16">
        <v>1971</v>
      </c>
      <c r="H71" s="16">
        <v>1972</v>
      </c>
      <c r="I71" s="16">
        <v>1973</v>
      </c>
      <c r="J71" s="16">
        <v>1974</v>
      </c>
      <c r="K71" s="16">
        <v>1975</v>
      </c>
      <c r="L71" s="1">
        <v>1976</v>
      </c>
      <c r="M71" s="1">
        <v>1977</v>
      </c>
      <c r="N71" s="1">
        <v>1978</v>
      </c>
      <c r="O71" s="1">
        <v>1979</v>
      </c>
      <c r="P71" s="1">
        <v>1980</v>
      </c>
      <c r="Q71" s="1">
        <v>1981</v>
      </c>
    </row>
    <row r="72" spans="1:17" s="15" customFormat="1">
      <c r="A72" s="16" t="s">
        <v>72</v>
      </c>
      <c r="B72" s="10">
        <v>0.18090000000000001</v>
      </c>
      <c r="C72" s="10">
        <v>0.22450000000000001</v>
      </c>
      <c r="D72" s="10"/>
      <c r="E72" s="10">
        <v>-8.1000000000000013E-3</v>
      </c>
      <c r="F72" s="10">
        <v>-3.5700000000000003E-2</v>
      </c>
      <c r="G72" s="10">
        <v>8.0100000000000005E-2</v>
      </c>
      <c r="H72" s="10">
        <v>0.27379999999999999</v>
      </c>
      <c r="I72" s="10">
        <v>2.7000000000000001E-3</v>
      </c>
      <c r="J72" s="10">
        <v>-0.25929999999999997</v>
      </c>
      <c r="K72" s="10">
        <v>0.18480000000000002</v>
      </c>
      <c r="L72">
        <v>0.11019999999999999</v>
      </c>
      <c r="M72">
        <v>0.10710000000000001</v>
      </c>
      <c r="N72">
        <v>0.29720000000000002</v>
      </c>
      <c r="O72">
        <v>0.44770000000000004</v>
      </c>
      <c r="P72">
        <v>0.30130000000000001</v>
      </c>
      <c r="Q72">
        <v>-0.10250000000000001</v>
      </c>
    </row>
    <row r="73" spans="1:17" s="15" customFormat="1">
      <c r="A73" s="16" t="s">
        <v>73</v>
      </c>
      <c r="B73" s="10">
        <v>-2.2000000000000002E-2</v>
      </c>
      <c r="C73" s="10">
        <v>-8.0000000000000002E-3</v>
      </c>
      <c r="D73" s="10"/>
      <c r="E73" s="10">
        <v>-2.01E-2</v>
      </c>
      <c r="F73" s="10">
        <v>0.2198</v>
      </c>
      <c r="G73" s="10">
        <v>0.11550000000000001</v>
      </c>
      <c r="H73" s="10">
        <v>1.11E-2</v>
      </c>
      <c r="I73" s="10">
        <v>1.7100000000000001E-2</v>
      </c>
      <c r="J73" s="10">
        <v>-1.6899999999999998E-2</v>
      </c>
      <c r="K73" s="10">
        <v>2.8199999999999999E-2</v>
      </c>
      <c r="L73">
        <v>0.19020000000000001</v>
      </c>
      <c r="M73">
        <v>5.9699999999999996E-2</v>
      </c>
      <c r="N73">
        <v>1.29E-2</v>
      </c>
      <c r="O73">
        <v>-2.6200000000000001E-2</v>
      </c>
      <c r="P73">
        <v>2.06E-2</v>
      </c>
      <c r="Q73">
        <v>-3.0200000000000001E-2</v>
      </c>
    </row>
    <row r="74" spans="1:17" s="15" customFormat="1">
      <c r="A74" s="16" t="s">
        <v>74</v>
      </c>
      <c r="B74" s="10">
        <v>2.2100000000000002E-2</v>
      </c>
      <c r="C74" s="10">
        <v>2.9700000000000004E-2</v>
      </c>
      <c r="D74" s="10"/>
      <c r="E74" s="10">
        <v>-3.15E-2</v>
      </c>
      <c r="F74" s="10">
        <v>0.1187</v>
      </c>
      <c r="G74" s="10">
        <v>0.13900000000000001</v>
      </c>
      <c r="H74" s="10">
        <v>8.9200000000000002E-2</v>
      </c>
      <c r="I74" s="10">
        <v>6.8699999999999997E-2</v>
      </c>
      <c r="J74" s="10">
        <v>4.4999999999999998E-2</v>
      </c>
      <c r="K74" s="10">
        <v>0.122</v>
      </c>
      <c r="L74">
        <v>0.1421</v>
      </c>
      <c r="M74">
        <v>0.1462</v>
      </c>
      <c r="N74">
        <v>6.8400000000000002E-2</v>
      </c>
      <c r="O74">
        <v>5.6600000000000004E-2</v>
      </c>
      <c r="P74">
        <v>8.1000000000000003E-2</v>
      </c>
      <c r="Q74">
        <v>9.98E-2</v>
      </c>
    </row>
    <row r="75" spans="1:17" s="15" customFormat="1">
      <c r="A75" s="16" t="s">
        <v>75</v>
      </c>
      <c r="B75" s="10">
        <v>4.6200000000000005E-2</v>
      </c>
      <c r="C75" s="10">
        <v>6.4699999999999994E-2</v>
      </c>
      <c r="D75" s="10"/>
      <c r="E75" s="10">
        <v>7.4300000000000005E-2</v>
      </c>
      <c r="F75" s="10">
        <v>6.5700000000000008E-2</v>
      </c>
      <c r="G75" s="10">
        <v>3.7900000000000003E-2</v>
      </c>
      <c r="H75" s="10">
        <v>3.5900000000000001E-2</v>
      </c>
      <c r="I75" s="10">
        <v>5.4600000000000003E-2</v>
      </c>
      <c r="J75" s="10">
        <v>8.2300000000000012E-2</v>
      </c>
      <c r="K75" s="10">
        <v>7.5600000000000001E-2</v>
      </c>
      <c r="L75">
        <v>9.4399999999999998E-2</v>
      </c>
      <c r="M75">
        <v>7.8600000000000003E-2</v>
      </c>
      <c r="N75">
        <v>8.9300000000000004E-2</v>
      </c>
      <c r="O75">
        <v>0.12539999999999998</v>
      </c>
      <c r="P75">
        <v>0.13720000000000002</v>
      </c>
      <c r="Q75">
        <v>0.20379999999999998</v>
      </c>
    </row>
    <row r="76" spans="1:17" s="15" customFormat="1">
      <c r="A76" s="16" t="s">
        <v>76</v>
      </c>
      <c r="B76" s="10">
        <v>0.2356</v>
      </c>
      <c r="C76" s="10">
        <v>0.10199999999999999</v>
      </c>
      <c r="D76" s="10"/>
      <c r="E76" s="10">
        <v>-8.3299999999999999E-2</v>
      </c>
      <c r="F76" s="10">
        <v>-1.5500000000000002E-2</v>
      </c>
      <c r="G76" s="10">
        <v>0.1222</v>
      </c>
      <c r="H76" s="10">
        <v>0.1862</v>
      </c>
      <c r="I76" s="10">
        <v>-0.14529999999999998</v>
      </c>
      <c r="J76" s="10">
        <v>-0.27200000000000002</v>
      </c>
      <c r="K76" s="10">
        <v>0.40759999999999996</v>
      </c>
      <c r="L76">
        <v>0.24180000000000001</v>
      </c>
      <c r="M76">
        <v>-2.5000000000000001E-3</v>
      </c>
      <c r="N76">
        <v>0.14410000000000001</v>
      </c>
      <c r="O76">
        <v>0.17250000000000001</v>
      </c>
      <c r="P76">
        <v>0.35389999999999999</v>
      </c>
      <c r="Q76">
        <v>-5.91E-2</v>
      </c>
    </row>
    <row r="77" spans="1:17" s="15" customFormat="1" ht="10.5"/>
    <row r="78" spans="1:17" s="15" customFormat="1" ht="10.5">
      <c r="A78" s="10"/>
      <c r="B78" s="10"/>
      <c r="C78" s="10"/>
      <c r="D78" s="10"/>
      <c r="E78" s="10"/>
      <c r="F78" s="10"/>
      <c r="G78" s="10"/>
    </row>
    <row r="79" spans="1:17" s="1" customFormat="1">
      <c r="A79" s="1" t="s">
        <v>23</v>
      </c>
      <c r="B79" s="1" t="s">
        <v>139</v>
      </c>
      <c r="C79" s="1" t="s">
        <v>109</v>
      </c>
      <c r="E79" s="1" t="s">
        <v>110</v>
      </c>
      <c r="F79" s="1" t="s">
        <v>92</v>
      </c>
      <c r="G79" s="1" t="s">
        <v>111</v>
      </c>
      <c r="H79" s="1" t="s">
        <v>112</v>
      </c>
      <c r="I79" s="1" t="s">
        <v>113</v>
      </c>
      <c r="J79" s="1" t="s">
        <v>114</v>
      </c>
      <c r="K79" s="1" t="s">
        <v>98</v>
      </c>
      <c r="L79" s="1" t="s">
        <v>100</v>
      </c>
      <c r="M79" s="1" t="s">
        <v>102</v>
      </c>
      <c r="N79" s="1" t="s">
        <v>115</v>
      </c>
      <c r="O79" s="1" t="s">
        <v>105</v>
      </c>
      <c r="P79" s="1" t="s">
        <v>107</v>
      </c>
      <c r="Q79" s="1" t="s">
        <v>108</v>
      </c>
    </row>
    <row r="80" spans="1:17" s="20" customFormat="1">
      <c r="A80" s="19" t="s">
        <v>25</v>
      </c>
      <c r="N80" s="20" t="s">
        <v>60</v>
      </c>
      <c r="P80" s="20" t="s">
        <v>64</v>
      </c>
    </row>
    <row r="81" spans="1:17" s="23" customFormat="1" ht="10.5">
      <c r="A81" s="24" t="s">
        <v>36</v>
      </c>
      <c r="B81" s="22">
        <f>B44</f>
        <v>2223438</v>
      </c>
      <c r="C81" s="22">
        <f t="shared" ref="C81:Q81" si="15">C44</f>
        <v>3150718</v>
      </c>
      <c r="D81" s="22"/>
      <c r="E81" s="22">
        <f t="shared" si="15"/>
        <v>3195133</v>
      </c>
      <c r="F81" s="22">
        <f t="shared" si="15"/>
        <v>5132639</v>
      </c>
      <c r="G81" s="22">
        <f t="shared" si="15"/>
        <v>5949406</v>
      </c>
      <c r="H81" s="22">
        <f t="shared" si="15"/>
        <v>7293676</v>
      </c>
      <c r="I81" s="22">
        <f t="shared" si="15"/>
        <v>9758954</v>
      </c>
      <c r="J81" s="22">
        <f t="shared" si="15"/>
        <v>10160883</v>
      </c>
      <c r="K81" s="22">
        <f t="shared" si="15"/>
        <v>12895705</v>
      </c>
      <c r="L81" s="22">
        <f t="shared" si="15"/>
        <v>17730592</v>
      </c>
      <c r="M81" s="22">
        <f t="shared" si="15"/>
        <v>19736892</v>
      </c>
      <c r="N81" s="22">
        <f t="shared" si="15"/>
        <v>20870442</v>
      </c>
      <c r="O81" s="22">
        <f t="shared" si="15"/>
        <v>24583429</v>
      </c>
      <c r="P81" s="22">
        <f t="shared" si="15"/>
        <v>3350821</v>
      </c>
      <c r="Q81" s="22">
        <f t="shared" si="15"/>
        <v>-19043565</v>
      </c>
    </row>
    <row r="82" spans="1:17" s="22" customFormat="1" ht="10.5">
      <c r="A82" s="24" t="s">
        <v>27</v>
      </c>
    </row>
    <row r="83" spans="1:17" s="22" customFormat="1" ht="10.5">
      <c r="A83" s="32" t="s">
        <v>16</v>
      </c>
    </row>
    <row r="84" spans="1:17" s="22" customFormat="1" ht="10.5">
      <c r="A84" s="22" t="s">
        <v>38</v>
      </c>
      <c r="C84" s="22">
        <f>B96*0.45*C72*0.75</f>
        <v>168467.11796249999</v>
      </c>
      <c r="E84" s="22">
        <f>(C96*0.45*(1+E72*0.75))*(1+F72*0.25)</f>
        <v>2467712.0481167794</v>
      </c>
      <c r="F84" s="22">
        <f t="shared" ref="F84:Q84" si="16">(E96*0.45*(1+F72*0.75))*(1+G72*0.25)</f>
        <v>3923914.0477412445</v>
      </c>
      <c r="G84" s="22">
        <f t="shared" si="16"/>
        <v>7381044.1088389922</v>
      </c>
      <c r="H84" s="22">
        <f t="shared" si="16"/>
        <v>11974529.89688416</v>
      </c>
      <c r="I84" s="22">
        <f t="shared" si="16"/>
        <v>13483702.667429231</v>
      </c>
      <c r="J84" s="22">
        <f t="shared" si="16"/>
        <v>15434922.778915362</v>
      </c>
      <c r="K84" s="22">
        <f t="shared" si="16"/>
        <v>25260954.367194865</v>
      </c>
      <c r="L84" s="22">
        <f t="shared" si="16"/>
        <v>34202187.671495281</v>
      </c>
      <c r="M84" s="22">
        <f t="shared" si="16"/>
        <v>49673727.36669258</v>
      </c>
      <c r="N84" s="22">
        <f t="shared" si="16"/>
        <v>76574604.612300009</v>
      </c>
      <c r="O84" s="22">
        <f t="shared" si="16"/>
        <v>110296918.95969972</v>
      </c>
      <c r="P84" s="22">
        <f t="shared" si="16"/>
        <v>126799589.87509871</v>
      </c>
      <c r="Q84" s="22">
        <f t="shared" si="16"/>
        <v>111892837.6168344</v>
      </c>
    </row>
    <row r="85" spans="1:17" s="22" customFormat="1" ht="12.95" customHeight="1">
      <c r="A85" s="22" t="s">
        <v>37</v>
      </c>
      <c r="C85" s="22">
        <f>B96*0.24*C73*0.75</f>
        <v>-3201.75072</v>
      </c>
      <c r="E85" s="22">
        <f>(C96*0.24*(1+E73*0.75))*(1+F73*0.25)</f>
        <v>1388251.3720978617</v>
      </c>
      <c r="F85" s="22">
        <f t="shared" ref="F85:Q85" si="17">(E96*0.24*(1+F73*0.75))*(1+G73*0.25)</f>
        <v>2526543.3825805834</v>
      </c>
      <c r="G85" s="22">
        <f t="shared" si="17"/>
        <v>3787118.7515415312</v>
      </c>
      <c r="H85" s="22">
        <f t="shared" si="17"/>
        <v>5361720.4284265963</v>
      </c>
      <c r="I85" s="22">
        <f t="shared" si="17"/>
        <v>7739841.7490439015</v>
      </c>
      <c r="J85" s="22">
        <f t="shared" si="17"/>
        <v>9712267.0965029206</v>
      </c>
      <c r="K85" s="22">
        <f t="shared" si="17"/>
        <v>12317955.819012558</v>
      </c>
      <c r="L85" s="22">
        <f t="shared" si="17"/>
        <v>19029896.305329464</v>
      </c>
      <c r="M85" s="22">
        <f t="shared" si="17"/>
        <v>23925806.902045663</v>
      </c>
      <c r="N85" s="22">
        <f t="shared" si="17"/>
        <v>30126221.73971723</v>
      </c>
      <c r="O85" s="22">
        <f t="shared" si="17"/>
        <v>40355346.93551974</v>
      </c>
      <c r="P85" s="22">
        <f t="shared" si="17"/>
        <v>57052674.777698986</v>
      </c>
      <c r="Q85" s="22">
        <f t="shared" si="17"/>
        <v>63181600.090887286</v>
      </c>
    </row>
    <row r="86" spans="1:17" s="22" customFormat="1" ht="10.5">
      <c r="A86" s="22" t="s">
        <v>31</v>
      </c>
      <c r="C86" s="22">
        <f>B96*0.09*C74*0.75</f>
        <v>4457.4373305000008</v>
      </c>
      <c r="E86" s="22">
        <f>(C96*0.09*(1+E74*0.75))*(1+F74*0.25)</f>
        <v>503710.68184844643</v>
      </c>
      <c r="F86" s="22">
        <f t="shared" ref="F86:Q86" si="18">(E96*0.09*(1+F74*0.75))*(1+G74*0.25)</f>
        <v>890837.91656010854</v>
      </c>
      <c r="G86" s="22">
        <f t="shared" si="18"/>
        <v>1471305.1972865695</v>
      </c>
      <c r="H86" s="22">
        <f t="shared" si="18"/>
        <v>2154773.5649490957</v>
      </c>
      <c r="I86" s="22">
        <f t="shared" si="18"/>
        <v>3060172.1230126754</v>
      </c>
      <c r="J86" s="22">
        <f t="shared" si="18"/>
        <v>3902152.4825810571</v>
      </c>
      <c r="K86" s="22">
        <f t="shared" si="18"/>
        <v>4880787.8987203343</v>
      </c>
      <c r="L86" s="22">
        <f t="shared" si="18"/>
        <v>7058162.0548416553</v>
      </c>
      <c r="M86" s="22">
        <f t="shared" si="18"/>
        <v>9661096.3825011421</v>
      </c>
      <c r="N86" s="22">
        <f t="shared" si="18"/>
        <v>12008179.696672305</v>
      </c>
      <c r="O86" s="22">
        <f t="shared" si="18"/>
        <v>16333609.184482105</v>
      </c>
      <c r="P86" s="22">
        <f t="shared" si="18"/>
        <v>23081063.617713455</v>
      </c>
      <c r="Q86" s="22">
        <f t="shared" si="18"/>
        <v>26056713.123889934</v>
      </c>
    </row>
    <row r="87" spans="1:17" s="22" customFormat="1" ht="10.5">
      <c r="A87" s="22" t="s">
        <v>32</v>
      </c>
      <c r="C87" s="22">
        <f>B96*0.11*C75*0.75</f>
        <v>11868.1561845</v>
      </c>
      <c r="E87" s="22">
        <f>(C96*0.11*(1+E75*0.75))*(1+F75*0.25)</f>
        <v>657113.91155478812</v>
      </c>
      <c r="F87" s="22">
        <f t="shared" ref="F87:Q87" si="19">(E96*0.11*(1+F75*0.75))*(1+G75*0.25)</f>
        <v>1023435.5015728496</v>
      </c>
      <c r="G87" s="22">
        <f t="shared" si="19"/>
        <v>1652951.8658160388</v>
      </c>
      <c r="H87" s="22">
        <f t="shared" si="19"/>
        <v>2526150.2233259366</v>
      </c>
      <c r="I87" s="22">
        <f t="shared" si="19"/>
        <v>3736738.3427650295</v>
      </c>
      <c r="J87" s="22">
        <f t="shared" si="19"/>
        <v>4843223.3678541798</v>
      </c>
      <c r="K87" s="22">
        <f t="shared" si="19"/>
        <v>5708707.1828562617</v>
      </c>
      <c r="L87" s="22">
        <f t="shared" si="19"/>
        <v>8211645.2087129187</v>
      </c>
      <c r="M87" s="22">
        <f t="shared" si="19"/>
        <v>11326385.906797374</v>
      </c>
      <c r="N87" s="22">
        <f t="shared" si="19"/>
        <v>15148122.594702207</v>
      </c>
      <c r="O87" s="22">
        <f t="shared" si="19"/>
        <v>21239984.414446216</v>
      </c>
      <c r="P87" s="22">
        <f t="shared" si="19"/>
        <v>30075195.893447392</v>
      </c>
      <c r="Q87" s="22">
        <f t="shared" si="19"/>
        <v>34158182.17256584</v>
      </c>
    </row>
    <row r="88" spans="1:17" s="22" customFormat="1" ht="10.5">
      <c r="A88" s="22" t="s">
        <v>39</v>
      </c>
      <c r="C88" s="22">
        <f>B96*0.11*C76*0.75</f>
        <v>18710.230769999998</v>
      </c>
      <c r="E88" s="22">
        <f>(C96*0.11*(1+E76*0.75))*(1+F76*0.25)</f>
        <v>571888.30380712857</v>
      </c>
      <c r="F88" s="22">
        <f t="shared" ref="F88:Q88" si="20">(E96*0.11*(1+F76*0.75))*(1+G76*0.25)</f>
        <v>984161.5733154699</v>
      </c>
      <c r="G88" s="22">
        <f t="shared" si="20"/>
        <v>1819912.7903412601</v>
      </c>
      <c r="H88" s="22">
        <f t="shared" si="20"/>
        <v>2665228.8719794895</v>
      </c>
      <c r="I88" s="22">
        <f t="shared" si="20"/>
        <v>2920947.1219721758</v>
      </c>
      <c r="J88" s="22">
        <f t="shared" si="20"/>
        <v>3926866.562929031</v>
      </c>
      <c r="K88" s="22">
        <f t="shared" si="20"/>
        <v>7307845.9395556794</v>
      </c>
      <c r="L88" s="22">
        <f t="shared" si="20"/>
        <v>8879280.1304899789</v>
      </c>
      <c r="M88" s="22">
        <f t="shared" si="20"/>
        <v>10818874.614635235</v>
      </c>
      <c r="N88" s="22">
        <f t="shared" si="20"/>
        <v>15911239.218566565</v>
      </c>
      <c r="O88" s="22">
        <f t="shared" si="20"/>
        <v>23074225.210165434</v>
      </c>
      <c r="P88" s="22">
        <f t="shared" si="20"/>
        <v>32349092.908086948</v>
      </c>
      <c r="Q88" s="22">
        <f t="shared" si="20"/>
        <v>28316017.476485979</v>
      </c>
    </row>
    <row r="89" spans="1:17" s="22" customFormat="1" ht="10.5">
      <c r="A89" s="24" t="s">
        <v>1</v>
      </c>
      <c r="C89" s="22">
        <f>C88+C87+C86+C85+C84+B96</f>
        <v>2423739.1915274998</v>
      </c>
    </row>
    <row r="90" spans="1:17" s="22" customFormat="1" ht="10.5">
      <c r="A90" s="32" t="s">
        <v>0</v>
      </c>
    </row>
    <row r="91" spans="1:17" s="22" customFormat="1" ht="10.5">
      <c r="A91" s="22" t="s">
        <v>38</v>
      </c>
      <c r="C91" s="22">
        <f>C89*0.45*E72*0.25</f>
        <v>-2208.6323382794349</v>
      </c>
    </row>
    <row r="92" spans="1:17" s="22" customFormat="1" ht="10.5">
      <c r="A92" s="22" t="s">
        <v>37</v>
      </c>
      <c r="C92" s="22">
        <f>C89*0.24*E73*0.25</f>
        <v>-2923.0294649821649</v>
      </c>
    </row>
    <row r="93" spans="1:17" s="22" customFormat="1" ht="10.5">
      <c r="A93" s="22" t="s">
        <v>31</v>
      </c>
      <c r="C93" s="22">
        <f>C89*0.09*E74*0.25</f>
        <v>-1717.8251519951154</v>
      </c>
    </row>
    <row r="94" spans="1:17" s="22" customFormat="1" ht="10.5">
      <c r="A94" s="22" t="s">
        <v>32</v>
      </c>
      <c r="C94" s="22">
        <f>C89*0.11*E75*0.25</f>
        <v>4952.3051030885645</v>
      </c>
    </row>
    <row r="95" spans="1:17" s="22" customFormat="1" ht="10.5">
      <c r="A95" s="22" t="s">
        <v>39</v>
      </c>
      <c r="C95" s="22">
        <f>C89*0.11*E76*0.25</f>
        <v>-5552.180552991621</v>
      </c>
    </row>
    <row r="96" spans="1:17" s="24" customFormat="1" ht="10.5">
      <c r="A96" s="24" t="s">
        <v>5</v>
      </c>
      <c r="B96" s="24">
        <f>B81</f>
        <v>2223438</v>
      </c>
      <c r="C96" s="24">
        <f>SUM(C89:C95)+C81</f>
        <v>5567007.8291223403</v>
      </c>
      <c r="E96" s="24">
        <f t="shared" ref="E96:O96" si="21">SUM(E84:E88)+E81</f>
        <v>8783809.3174250051</v>
      </c>
      <c r="F96" s="24">
        <f t="shared" si="21"/>
        <v>14481531.421770256</v>
      </c>
      <c r="G96" s="24">
        <f t="shared" si="21"/>
        <v>22061738.713824391</v>
      </c>
      <c r="H96" s="24">
        <f t="shared" si="21"/>
        <v>31976078.985565279</v>
      </c>
      <c r="I96" s="24">
        <f t="shared" si="21"/>
        <v>40700356.004223019</v>
      </c>
      <c r="J96" s="24">
        <f t="shared" si="21"/>
        <v>47980315.288782552</v>
      </c>
      <c r="K96" s="24">
        <f t="shared" si="21"/>
        <v>68371956.207339704</v>
      </c>
      <c r="L96" s="24">
        <f t="shared" si="21"/>
        <v>95111763.370869294</v>
      </c>
      <c r="M96" s="24">
        <f t="shared" si="21"/>
        <v>125142783.17267199</v>
      </c>
      <c r="N96" s="24">
        <f t="shared" si="21"/>
        <v>170638809.86195832</v>
      </c>
      <c r="O96" s="24">
        <f t="shared" si="21"/>
        <v>235883513.70431319</v>
      </c>
      <c r="P96" s="24">
        <f>SUM(P84:P88)</f>
        <v>269357617.07204551</v>
      </c>
      <c r="Q96" s="24">
        <f>SUM(Q84:Q88)+Q81</f>
        <v>244561785.48066342</v>
      </c>
    </row>
    <row r="97" spans="1:15">
      <c r="O97" s="1"/>
    </row>
    <row r="99" spans="1:15">
      <c r="A99" s="1" t="s">
        <v>18</v>
      </c>
    </row>
    <row r="104" spans="1:15">
      <c r="A104" t="s">
        <v>22</v>
      </c>
      <c r="B104" s="12" t="s">
        <v>66</v>
      </c>
      <c r="C104" s="12" t="s">
        <v>68</v>
      </c>
      <c r="D104" s="12"/>
      <c r="E104" s="12" t="s">
        <v>26</v>
      </c>
    </row>
    <row r="105" spans="1:15">
      <c r="A105" t="s">
        <v>138</v>
      </c>
      <c r="B105" s="12">
        <v>-2103965</v>
      </c>
      <c r="C105" s="12">
        <v>4207930</v>
      </c>
      <c r="D105" s="12"/>
      <c r="E105" s="12">
        <v>2223438</v>
      </c>
    </row>
    <row r="106" spans="1:15">
      <c r="A106" t="s">
        <v>89</v>
      </c>
      <c r="B106" s="12">
        <v>-2768307</v>
      </c>
      <c r="C106" s="12">
        <v>5536614</v>
      </c>
      <c r="D106" s="12"/>
      <c r="E106" s="12">
        <v>3150718</v>
      </c>
    </row>
    <row r="107" spans="1:15">
      <c r="A107" t="s">
        <v>90</v>
      </c>
      <c r="B107" s="12">
        <v>-3177752</v>
      </c>
      <c r="C107" s="12">
        <v>6355504</v>
      </c>
      <c r="D107" s="12"/>
      <c r="E107" s="12">
        <v>3195133</v>
      </c>
    </row>
    <row r="108" spans="1:15">
      <c r="A108" t="s">
        <v>91</v>
      </c>
      <c r="B108" s="12">
        <v>-4259982</v>
      </c>
      <c r="C108" s="12">
        <v>8519964</v>
      </c>
      <c r="D108" s="12"/>
      <c r="E108" s="12">
        <v>5132639</v>
      </c>
    </row>
    <row r="109" spans="1:15">
      <c r="A109" t="s">
        <v>93</v>
      </c>
      <c r="B109" s="12">
        <v>-4837575</v>
      </c>
      <c r="C109" s="12">
        <v>9675150</v>
      </c>
      <c r="D109" s="12"/>
      <c r="E109" s="12">
        <v>5949406</v>
      </c>
    </row>
    <row r="110" spans="1:15">
      <c r="A110" t="s">
        <v>94</v>
      </c>
      <c r="B110" s="12">
        <v>-5896299</v>
      </c>
      <c r="C110" s="12">
        <v>11792598</v>
      </c>
      <c r="D110" s="12"/>
      <c r="E110" s="12">
        <v>7293676</v>
      </c>
    </row>
    <row r="111" spans="1:15">
      <c r="A111" t="s">
        <v>95</v>
      </c>
      <c r="B111" s="12">
        <v>-7678922</v>
      </c>
      <c r="C111" s="12">
        <v>15357844</v>
      </c>
      <c r="D111" s="12"/>
      <c r="E111" s="12">
        <v>9758954</v>
      </c>
    </row>
    <row r="112" spans="1:15">
      <c r="A112" t="s">
        <v>96</v>
      </c>
      <c r="B112" s="12">
        <v>-8925093</v>
      </c>
      <c r="C112" s="12">
        <v>17850186</v>
      </c>
      <c r="D112" s="12"/>
      <c r="E112" s="12">
        <v>10160883</v>
      </c>
    </row>
    <row r="113" spans="1:5">
      <c r="A113" t="s">
        <v>97</v>
      </c>
      <c r="B113" s="12">
        <v>-10872186</v>
      </c>
      <c r="C113" s="12">
        <v>21744372</v>
      </c>
      <c r="D113" s="12"/>
      <c r="E113" s="12">
        <v>12895705</v>
      </c>
    </row>
    <row r="114" spans="1:5">
      <c r="A114" t="s">
        <v>99</v>
      </c>
      <c r="B114" s="12">
        <v>-13614425</v>
      </c>
      <c r="C114" s="12">
        <v>27228850</v>
      </c>
      <c r="D114" s="12"/>
      <c r="E114" s="12">
        <v>17730592</v>
      </c>
    </row>
    <row r="115" spans="1:5">
      <c r="A115" t="s">
        <v>101</v>
      </c>
      <c r="B115" s="12">
        <v>-15668164</v>
      </c>
      <c r="C115" s="12">
        <v>31336328</v>
      </c>
      <c r="D115" s="12"/>
      <c r="E115" s="12">
        <v>19736892</v>
      </c>
    </row>
    <row r="116" spans="1:5">
      <c r="A116" t="s">
        <v>103</v>
      </c>
      <c r="B116" s="12">
        <v>-17574907</v>
      </c>
      <c r="C116" s="12">
        <v>35149814</v>
      </c>
      <c r="D116" s="12"/>
      <c r="E116" s="12">
        <v>20870442</v>
      </c>
    </row>
    <row r="117" spans="1:5">
      <c r="A117" t="s">
        <v>104</v>
      </c>
      <c r="B117" s="12">
        <v>-20550472</v>
      </c>
      <c r="C117" s="12">
        <v>41100944</v>
      </c>
      <c r="D117" s="12"/>
      <c r="E117" s="12">
        <v>24583429</v>
      </c>
    </row>
    <row r="118" spans="1:5">
      <c r="A118" t="s">
        <v>106</v>
      </c>
      <c r="B118" s="12">
        <v>-5093244</v>
      </c>
      <c r="C118" s="12">
        <v>10186488</v>
      </c>
      <c r="D118" s="12"/>
      <c r="E118" s="12">
        <v>3350821</v>
      </c>
    </row>
  </sheetData>
  <phoneticPr fontId="2" type="noConversion"/>
  <pageMargins left="0.75196850393700787" right="0.75196850393700787" top="1" bottom="1" header="0.5" footer="0.5"/>
  <pageSetup paperSize="0" orientation="landscape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3:P100"/>
  <sheetViews>
    <sheetView topLeftCell="B39" zoomScale="110" zoomScaleNormal="150" zoomScalePageLayoutView="150" workbookViewId="0">
      <selection activeCell="O78" sqref="O78"/>
    </sheetView>
  </sheetViews>
  <sheetFormatPr defaultColWidth="11" defaultRowHeight="12.75"/>
  <cols>
    <col min="1" max="1" width="34.875" customWidth="1"/>
    <col min="2" max="2" width="14.25" customWidth="1"/>
    <col min="3" max="3" width="13.25" customWidth="1"/>
  </cols>
  <sheetData>
    <row r="3" spans="1:16" s="1" customFormat="1">
      <c r="B3" s="1" t="s">
        <v>139</v>
      </c>
      <c r="C3" s="1" t="s">
        <v>109</v>
      </c>
      <c r="D3" s="1" t="s">
        <v>110</v>
      </c>
      <c r="E3" s="1" t="s">
        <v>92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98</v>
      </c>
      <c r="K3" s="1" t="s">
        <v>100</v>
      </c>
      <c r="L3" s="1" t="s">
        <v>102</v>
      </c>
      <c r="M3" s="1" t="s">
        <v>115</v>
      </c>
      <c r="N3" s="1" t="s">
        <v>105</v>
      </c>
      <c r="O3" s="1" t="s">
        <v>107</v>
      </c>
      <c r="P3" s="1" t="s">
        <v>108</v>
      </c>
    </row>
    <row r="4" spans="1:16">
      <c r="A4" s="1" t="s">
        <v>137</v>
      </c>
    </row>
    <row r="5" spans="1:16">
      <c r="A5" s="2" t="s">
        <v>116</v>
      </c>
      <c r="B5" s="4">
        <v>518000</v>
      </c>
      <c r="C5" s="4">
        <v>470527</v>
      </c>
      <c r="D5" s="4">
        <v>828875</v>
      </c>
      <c r="E5" s="4">
        <v>809037</v>
      </c>
      <c r="F5" s="4">
        <v>922408</v>
      </c>
      <c r="G5" s="4">
        <v>1112348</v>
      </c>
      <c r="H5" s="4">
        <v>1554911</v>
      </c>
      <c r="I5" s="4">
        <v>2481193</v>
      </c>
      <c r="J5" s="4">
        <v>3021643</v>
      </c>
      <c r="K5" s="4">
        <v>3573939</v>
      </c>
      <c r="L5" s="4">
        <v>4623788</v>
      </c>
      <c r="M5" s="4">
        <v>5736424</v>
      </c>
      <c r="N5" s="4">
        <v>6833602</v>
      </c>
      <c r="O5" s="4">
        <v>2257193</v>
      </c>
      <c r="P5" s="4">
        <v>17336764</v>
      </c>
    </row>
    <row r="6" spans="1:16">
      <c r="A6" s="2" t="s">
        <v>117</v>
      </c>
      <c r="B6" s="4">
        <v>35254</v>
      </c>
      <c r="C6" s="4">
        <v>3854</v>
      </c>
      <c r="D6" s="7">
        <v>0</v>
      </c>
      <c r="E6" s="4">
        <v>2510</v>
      </c>
      <c r="F6" s="4">
        <v>0</v>
      </c>
      <c r="G6" s="4">
        <v>486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O6" s="4"/>
      <c r="P6" s="4"/>
    </row>
    <row r="7" spans="1:16">
      <c r="A7" s="2" t="s">
        <v>118</v>
      </c>
      <c r="B7" s="4">
        <v>47655</v>
      </c>
      <c r="C7" s="4">
        <v>34840</v>
      </c>
      <c r="D7" s="4">
        <v>37324</v>
      </c>
      <c r="E7" s="4">
        <v>54495</v>
      </c>
      <c r="F7" s="4">
        <v>30523</v>
      </c>
      <c r="G7" s="4">
        <v>36553</v>
      </c>
      <c r="H7" s="4">
        <v>19938</v>
      </c>
      <c r="I7" s="4">
        <v>33987</v>
      </c>
      <c r="J7" s="4">
        <v>15896</v>
      </c>
      <c r="K7" s="4">
        <v>0</v>
      </c>
      <c r="L7" s="4">
        <v>0</v>
      </c>
      <c r="M7" s="4">
        <v>0</v>
      </c>
      <c r="O7" s="4"/>
      <c r="P7" s="4"/>
    </row>
    <row r="8" spans="1:16">
      <c r="A8" s="2" t="s">
        <v>119</v>
      </c>
      <c r="B8" s="4">
        <v>463795</v>
      </c>
      <c r="C8" s="4">
        <v>443351</v>
      </c>
      <c r="D8" s="4">
        <v>605234</v>
      </c>
      <c r="E8" s="4">
        <v>504587</v>
      </c>
      <c r="F8" s="4">
        <v>481291</v>
      </c>
      <c r="G8" s="4">
        <v>517833</v>
      </c>
      <c r="H8" s="4">
        <v>498022</v>
      </c>
      <c r="I8" s="4">
        <v>790107</v>
      </c>
      <c r="J8" s="4">
        <v>782376</v>
      </c>
      <c r="K8" s="4">
        <v>747120</v>
      </c>
      <c r="L8" s="4">
        <v>666677</v>
      </c>
      <c r="M8" s="4">
        <v>665372</v>
      </c>
      <c r="N8" s="4">
        <v>387385</v>
      </c>
      <c r="O8" s="4">
        <v>705253</v>
      </c>
      <c r="P8" s="4">
        <v>875327</v>
      </c>
    </row>
    <row r="9" spans="1:16">
      <c r="A9" s="2" t="s">
        <v>87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>
        <v>185113</v>
      </c>
      <c r="O9" s="4">
        <v>84277</v>
      </c>
      <c r="P9" s="4"/>
    </row>
    <row r="10" spans="1:16">
      <c r="A10" s="2" t="s">
        <v>120</v>
      </c>
      <c r="B10" s="4">
        <v>332220</v>
      </c>
      <c r="C10" s="4">
        <v>341975</v>
      </c>
      <c r="D10" s="4">
        <v>346399</v>
      </c>
      <c r="E10" s="4">
        <v>344938</v>
      </c>
      <c r="F10" s="4">
        <v>427566</v>
      </c>
      <c r="G10" s="4">
        <v>498907</v>
      </c>
      <c r="H10" s="4">
        <v>578831</v>
      </c>
      <c r="I10" s="4">
        <v>679960</v>
      </c>
      <c r="J10" s="4">
        <v>810409</v>
      </c>
      <c r="K10" s="4">
        <v>892899</v>
      </c>
      <c r="L10" s="4">
        <v>1026095</v>
      </c>
      <c r="M10" s="4">
        <v>1143598</v>
      </c>
      <c r="N10" s="4">
        <v>1152127</v>
      </c>
      <c r="O10" s="4">
        <v>367140</v>
      </c>
      <c r="P10" s="4"/>
    </row>
    <row r="11" spans="1:16">
      <c r="A11" s="2" t="s">
        <v>83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>
        <v>21586</v>
      </c>
      <c r="N11" s="4">
        <v>26370</v>
      </c>
      <c r="O11" s="4">
        <v>5656</v>
      </c>
      <c r="P11" s="4"/>
    </row>
    <row r="12" spans="1:16">
      <c r="A12" s="2" t="s">
        <v>121</v>
      </c>
      <c r="B12" s="4">
        <v>41434</v>
      </c>
      <c r="C12" s="4">
        <v>58773</v>
      </c>
      <c r="D12" s="4">
        <v>82621</v>
      </c>
      <c r="E12" s="4">
        <v>83466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O12" s="4"/>
      <c r="P12" s="4"/>
    </row>
    <row r="13" spans="1:16">
      <c r="A13" s="2" t="s">
        <v>122</v>
      </c>
      <c r="B13" s="4">
        <v>17171</v>
      </c>
      <c r="C13" s="4">
        <v>17171</v>
      </c>
      <c r="D13" s="4">
        <v>17171</v>
      </c>
      <c r="E13" s="4">
        <v>17171</v>
      </c>
      <c r="F13" s="4">
        <v>17171</v>
      </c>
      <c r="G13" s="4">
        <v>17246</v>
      </c>
      <c r="H13" s="4">
        <v>17171</v>
      </c>
      <c r="I13" s="4">
        <v>17171</v>
      </c>
      <c r="J13" s="4">
        <v>17171</v>
      </c>
      <c r="K13" s="4">
        <v>17171</v>
      </c>
      <c r="L13" s="4">
        <v>17172</v>
      </c>
      <c r="M13" s="4">
        <v>17171</v>
      </c>
      <c r="N13" s="4">
        <v>9927</v>
      </c>
      <c r="O13" s="4">
        <v>397</v>
      </c>
      <c r="P13" s="4"/>
    </row>
    <row r="14" spans="1:16">
      <c r="A14" s="2" t="s">
        <v>123</v>
      </c>
      <c r="B14" s="4">
        <v>41171</v>
      </c>
      <c r="C14" s="4">
        <v>80378</v>
      </c>
      <c r="D14" s="4">
        <v>96693</v>
      </c>
      <c r="E14" s="4">
        <v>152352</v>
      </c>
      <c r="F14" s="4">
        <v>293110</v>
      </c>
      <c r="G14" s="4">
        <v>164808</v>
      </c>
      <c r="H14" s="4">
        <v>271315</v>
      </c>
      <c r="I14" s="4">
        <v>332969</v>
      </c>
      <c r="J14" s="4">
        <v>359076</v>
      </c>
      <c r="K14" s="4">
        <v>274579</v>
      </c>
      <c r="L14" s="4">
        <v>385694</v>
      </c>
      <c r="M14" s="4">
        <v>636418</v>
      </c>
      <c r="N14" s="4">
        <v>772625</v>
      </c>
      <c r="O14" s="4">
        <v>1018364</v>
      </c>
      <c r="P14" s="4">
        <v>1212122</v>
      </c>
    </row>
    <row r="15" spans="1:16">
      <c r="A15" s="2" t="s">
        <v>124</v>
      </c>
      <c r="B15" s="4">
        <v>18151</v>
      </c>
      <c r="C15" s="4">
        <v>40778</v>
      </c>
      <c r="D15" s="4">
        <v>36711</v>
      </c>
      <c r="E15" s="4">
        <v>49634</v>
      </c>
      <c r="F15" s="4">
        <v>29656</v>
      </c>
      <c r="G15" s="4">
        <v>60209</v>
      </c>
      <c r="H15" s="4">
        <v>79688</v>
      </c>
      <c r="I15" s="4">
        <v>55484</v>
      </c>
      <c r="J15" s="4">
        <v>32899</v>
      </c>
      <c r="K15" s="4">
        <v>0</v>
      </c>
      <c r="L15" s="4">
        <v>0</v>
      </c>
      <c r="M15" s="4"/>
      <c r="O15" s="4"/>
      <c r="P15" s="4"/>
    </row>
    <row r="16" spans="1:16">
      <c r="A16" s="2" t="s">
        <v>125</v>
      </c>
      <c r="B16" s="4">
        <v>27738</v>
      </c>
      <c r="C16" s="4">
        <v>24603</v>
      </c>
      <c r="D16" s="4">
        <v>24565</v>
      </c>
      <c r="E16" s="4">
        <v>24565</v>
      </c>
      <c r="F16" s="4">
        <v>38180</v>
      </c>
      <c r="G16" s="4">
        <v>99178</v>
      </c>
      <c r="H16" s="4">
        <v>98442</v>
      </c>
      <c r="I16" s="4">
        <v>106914</v>
      </c>
      <c r="J16" s="4">
        <v>118744</v>
      </c>
      <c r="K16" s="4">
        <v>110444</v>
      </c>
      <c r="L16" s="4">
        <v>125044</v>
      </c>
      <c r="M16" s="4">
        <v>151898</v>
      </c>
      <c r="N16" s="4">
        <v>231878</v>
      </c>
      <c r="O16" s="4">
        <v>71842</v>
      </c>
      <c r="P16" s="4"/>
    </row>
    <row r="17" spans="1:16">
      <c r="A17" s="2" t="s">
        <v>131</v>
      </c>
      <c r="B17" s="4">
        <v>429477</v>
      </c>
      <c r="C17" s="4">
        <v>470866</v>
      </c>
      <c r="D17" s="4">
        <f>519204+91534+100</f>
        <v>610838</v>
      </c>
      <c r="E17" s="4">
        <v>737617</v>
      </c>
      <c r="F17" s="4">
        <v>684687</v>
      </c>
      <c r="G17" s="4">
        <v>884084</v>
      </c>
      <c r="H17" s="4">
        <v>1232782</v>
      </c>
      <c r="I17" s="4">
        <v>1659489</v>
      </c>
      <c r="J17" s="4">
        <v>2044230</v>
      </c>
      <c r="K17" s="4">
        <v>2278784</v>
      </c>
      <c r="L17" s="4">
        <v>2781361</v>
      </c>
      <c r="M17" s="4">
        <v>3585873</v>
      </c>
      <c r="N17" s="4">
        <v>4299914</v>
      </c>
      <c r="O17" s="4">
        <v>1346894</v>
      </c>
      <c r="P17" s="4"/>
    </row>
    <row r="18" spans="1:16">
      <c r="A18" s="2" t="s">
        <v>135</v>
      </c>
      <c r="B18" s="4">
        <v>0</v>
      </c>
      <c r="C18" s="4">
        <v>382029</v>
      </c>
      <c r="D18" s="4">
        <v>458119</v>
      </c>
      <c r="E18" s="4">
        <v>480756</v>
      </c>
      <c r="F18" s="4">
        <v>562083</v>
      </c>
      <c r="G18" s="4">
        <v>798126</v>
      </c>
      <c r="H18" s="4">
        <v>898400</v>
      </c>
      <c r="I18" s="4">
        <v>1153360</v>
      </c>
      <c r="J18" s="4">
        <v>1304070</v>
      </c>
      <c r="K18" s="4">
        <v>1263982</v>
      </c>
      <c r="L18" s="4">
        <v>1582358</v>
      </c>
      <c r="M18" s="4">
        <v>1770480</v>
      </c>
      <c r="N18" s="4">
        <v>2007311</v>
      </c>
      <c r="O18" s="4">
        <v>750288</v>
      </c>
      <c r="P18" s="4"/>
    </row>
    <row r="19" spans="1:16">
      <c r="A19" s="2" t="s">
        <v>126</v>
      </c>
      <c r="B19" s="4">
        <v>12426</v>
      </c>
      <c r="C19" s="4">
        <v>16650</v>
      </c>
      <c r="D19" s="4">
        <v>13802</v>
      </c>
      <c r="E19" s="4">
        <v>10557</v>
      </c>
      <c r="F19" s="4">
        <v>6791</v>
      </c>
      <c r="G19" s="4">
        <v>3664</v>
      </c>
      <c r="H19" s="4">
        <v>6411</v>
      </c>
      <c r="I19" s="4">
        <v>0</v>
      </c>
      <c r="J19" s="4">
        <v>1000</v>
      </c>
      <c r="K19" s="4">
        <v>5000</v>
      </c>
      <c r="L19" s="4">
        <v>0</v>
      </c>
      <c r="M19" s="4">
        <v>0</v>
      </c>
      <c r="O19" s="4"/>
      <c r="P19" s="4"/>
    </row>
    <row r="20" spans="1:16">
      <c r="A20" s="2" t="s">
        <v>136</v>
      </c>
      <c r="B20" s="4">
        <v>0</v>
      </c>
      <c r="C20" s="4">
        <v>101</v>
      </c>
      <c r="D20" s="4">
        <v>2019</v>
      </c>
      <c r="E20" s="4">
        <v>0</v>
      </c>
      <c r="F20" s="4">
        <v>13857</v>
      </c>
      <c r="G20" s="4">
        <v>959</v>
      </c>
      <c r="H20" s="4">
        <v>6778</v>
      </c>
      <c r="I20" s="4">
        <v>11150</v>
      </c>
      <c r="J20" s="4">
        <v>21685</v>
      </c>
      <c r="K20" s="4">
        <v>4091</v>
      </c>
      <c r="L20" s="4">
        <v>0</v>
      </c>
      <c r="M20" s="4">
        <v>1321</v>
      </c>
      <c r="N20" s="4">
        <v>32625</v>
      </c>
      <c r="O20" s="4">
        <v>0</v>
      </c>
      <c r="P20" s="4"/>
    </row>
    <row r="21" spans="1:16">
      <c r="A21" s="2" t="s">
        <v>81</v>
      </c>
      <c r="B21" s="4">
        <v>0</v>
      </c>
      <c r="C21" s="4">
        <v>0</v>
      </c>
      <c r="D21" s="4">
        <v>0</v>
      </c>
      <c r="E21" s="4">
        <v>115640</v>
      </c>
      <c r="F21" s="4">
        <v>218421</v>
      </c>
      <c r="G21" s="4">
        <v>304521</v>
      </c>
      <c r="H21" s="4">
        <v>336201</v>
      </c>
      <c r="I21" s="4">
        <v>367519</v>
      </c>
      <c r="J21" s="4">
        <v>319468</v>
      </c>
      <c r="K21" s="4">
        <v>330249</v>
      </c>
      <c r="L21" s="4">
        <v>391247</v>
      </c>
      <c r="M21" s="4">
        <v>445105</v>
      </c>
      <c r="N21" s="4">
        <v>462740</v>
      </c>
      <c r="O21" s="4">
        <v>82428</v>
      </c>
      <c r="P21" s="4"/>
    </row>
    <row r="22" spans="1:16">
      <c r="A22" s="2" t="s">
        <v>84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>
        <v>102126</v>
      </c>
      <c r="N22" s="7">
        <v>110738</v>
      </c>
      <c r="O22" s="4">
        <v>140775</v>
      </c>
      <c r="P22" s="4">
        <v>132443</v>
      </c>
    </row>
    <row r="23" spans="1:16">
      <c r="A23" s="2" t="s">
        <v>85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>
        <v>2000</v>
      </c>
      <c r="N23" s="7">
        <v>5160</v>
      </c>
      <c r="O23" s="4">
        <v>5160</v>
      </c>
      <c r="P23" s="4">
        <v>10090</v>
      </c>
    </row>
    <row r="24" spans="1:16">
      <c r="A24" s="3" t="s">
        <v>127</v>
      </c>
      <c r="B24" s="4">
        <f t="shared" ref="B24:L24" si="0">SUM(B5:B21)</f>
        <v>1984492</v>
      </c>
      <c r="C24" s="4">
        <f t="shared" si="0"/>
        <v>2385896</v>
      </c>
      <c r="D24" s="4">
        <f t="shared" si="0"/>
        <v>3160371</v>
      </c>
      <c r="E24" s="4">
        <f t="shared" si="0"/>
        <v>3387325</v>
      </c>
      <c r="F24" s="4">
        <f t="shared" si="0"/>
        <v>3725744</v>
      </c>
      <c r="G24" s="4">
        <f t="shared" si="0"/>
        <v>4498922</v>
      </c>
      <c r="H24" s="4">
        <f t="shared" si="0"/>
        <v>5598890</v>
      </c>
      <c r="I24" s="4">
        <f t="shared" si="0"/>
        <v>7689303</v>
      </c>
      <c r="J24" s="4">
        <f t="shared" si="0"/>
        <v>8848667</v>
      </c>
      <c r="K24" s="4">
        <f t="shared" si="0"/>
        <v>9498258</v>
      </c>
      <c r="L24" s="4">
        <f t="shared" si="0"/>
        <v>11599436</v>
      </c>
      <c r="M24" s="4">
        <f>SUM(M5:M23)</f>
        <v>14279372</v>
      </c>
      <c r="N24" s="4">
        <f>SUM(N5:N23)</f>
        <v>16517515</v>
      </c>
      <c r="O24" s="4">
        <f>SUM(O5:O23)</f>
        <v>6835667</v>
      </c>
      <c r="P24" s="4">
        <f>SUM(P5:P20)</f>
        <v>19424213</v>
      </c>
    </row>
    <row r="25" spans="1:16">
      <c r="A25" s="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s="1" customFormat="1">
      <c r="A26" s="5" t="s">
        <v>88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>
        <v>11393449</v>
      </c>
      <c r="P26" s="9">
        <v>17336764</v>
      </c>
    </row>
    <row r="27" spans="1:16">
      <c r="A27" s="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>
      <c r="A28" s="5" t="s">
        <v>132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>
      <c r="A29" s="2" t="s">
        <v>128</v>
      </c>
      <c r="B29" s="4">
        <v>-18151</v>
      </c>
      <c r="C29" s="4">
        <v>-42388</v>
      </c>
      <c r="D29" s="4">
        <v>-35102</v>
      </c>
      <c r="E29" s="4">
        <v>-47825</v>
      </c>
      <c r="F29" s="4">
        <v>-28646</v>
      </c>
      <c r="G29" s="4">
        <v>-63036</v>
      </c>
      <c r="H29" s="4">
        <v>-95434</v>
      </c>
      <c r="I29" s="4">
        <v>-29740</v>
      </c>
      <c r="J29" s="4">
        <v>-58643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/>
    </row>
    <row r="30" spans="1:16">
      <c r="A30" s="2" t="s">
        <v>129</v>
      </c>
      <c r="B30" s="4">
        <v>-24315</v>
      </c>
      <c r="C30" s="4">
        <v>-19082</v>
      </c>
      <c r="D30" s="4">
        <v>-19715</v>
      </c>
      <c r="E30" s="4">
        <v>-31725</v>
      </c>
      <c r="F30" s="4">
        <v>-13370</v>
      </c>
      <c r="G30" s="4">
        <v>-63278</v>
      </c>
      <c r="H30" s="4">
        <v>-23309</v>
      </c>
      <c r="I30" s="4">
        <v>-34154</v>
      </c>
      <c r="J30" s="4">
        <v>-35700</v>
      </c>
      <c r="K30" s="4">
        <v>-53610</v>
      </c>
      <c r="L30" s="4">
        <v>-67900</v>
      </c>
      <c r="M30" s="4">
        <v>-73080</v>
      </c>
      <c r="N30" s="4">
        <v>-97249</v>
      </c>
      <c r="O30" s="4">
        <v>-77530</v>
      </c>
      <c r="P30" s="4"/>
    </row>
    <row r="31" spans="1:16">
      <c r="A31" s="2" t="s">
        <v>130</v>
      </c>
      <c r="B31" s="4">
        <v>-539261</v>
      </c>
      <c r="C31" s="4">
        <v>-810025</v>
      </c>
      <c r="D31" s="4">
        <v>-922803</v>
      </c>
      <c r="E31" s="4">
        <v>-1076210</v>
      </c>
      <c r="F31" s="4">
        <v>-1312459</v>
      </c>
      <c r="G31" s="4">
        <v>-1864644</v>
      </c>
      <c r="H31" s="4">
        <v>-2699596</v>
      </c>
      <c r="I31" s="4">
        <v>-2913574</v>
      </c>
      <c r="J31" s="4">
        <v>-3305500</v>
      </c>
      <c r="K31" s="4">
        <v>-4392613</v>
      </c>
      <c r="L31" s="4">
        <v>-4951233</v>
      </c>
      <c r="M31" s="4">
        <v>-5198292</v>
      </c>
      <c r="N31" s="4">
        <v>-6243100</v>
      </c>
      <c r="O31" s="4">
        <v>-1540288</v>
      </c>
      <c r="P31" s="4"/>
    </row>
    <row r="32" spans="1:16">
      <c r="A32" s="2" t="s">
        <v>80</v>
      </c>
      <c r="B32" s="4">
        <v>-1522238</v>
      </c>
      <c r="C32" s="4">
        <v>-1783951</v>
      </c>
      <c r="D32" s="4">
        <v>-2200132</v>
      </c>
      <c r="E32" s="4">
        <v>-3104222</v>
      </c>
      <c r="F32" s="4">
        <v>-3483100</v>
      </c>
      <c r="G32" s="4">
        <v>-3905341</v>
      </c>
      <c r="H32" s="4">
        <v>-4816783</v>
      </c>
      <c r="I32" s="4">
        <v>-5947625</v>
      </c>
      <c r="J32" s="4">
        <v>-7472343</v>
      </c>
      <c r="K32" s="4">
        <v>-9168202</v>
      </c>
      <c r="L32" s="4">
        <v>-10634082</v>
      </c>
      <c r="M32" s="4">
        <v>-11835366</v>
      </c>
      <c r="N32" s="4">
        <v>-13704788</v>
      </c>
      <c r="O32" s="4">
        <v>-3377822</v>
      </c>
      <c r="P32" s="4">
        <v>-151204</v>
      </c>
    </row>
    <row r="33" spans="1:16">
      <c r="A33" s="2" t="s">
        <v>86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-14949</v>
      </c>
      <c r="M33" s="4">
        <v>-468169</v>
      </c>
      <c r="N33" s="4">
        <v>-505335</v>
      </c>
      <c r="O33" s="4">
        <v>-97604</v>
      </c>
      <c r="P33" s="4">
        <v>-39120</v>
      </c>
    </row>
    <row r="34" spans="1:16">
      <c r="A34" s="2" t="s">
        <v>77</v>
      </c>
      <c r="B34" s="7">
        <v>0</v>
      </c>
      <c r="C34" s="7">
        <v>-112861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</row>
    <row r="35" spans="1:16">
      <c r="A35" s="2" t="s">
        <v>82</v>
      </c>
      <c r="B35" s="7">
        <v>0</v>
      </c>
      <c r="C35" s="7">
        <v>0</v>
      </c>
      <c r="D35" s="4">
        <v>0</v>
      </c>
      <c r="E35" s="4">
        <v>0</v>
      </c>
      <c r="F35" s="4">
        <v>0</v>
      </c>
      <c r="G35" s="4">
        <v>0</v>
      </c>
      <c r="H35" s="4">
        <v>-43800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</row>
    <row r="36" spans="1:16">
      <c r="A36" s="6" t="s">
        <v>134</v>
      </c>
      <c r="B36" s="7">
        <f t="shared" ref="B36:K36" si="1">SUM(B29:B35)</f>
        <v>-2103965</v>
      </c>
      <c r="C36" s="7">
        <f t="shared" si="1"/>
        <v>-2768307</v>
      </c>
      <c r="D36" s="7">
        <f t="shared" si="1"/>
        <v>-3177752</v>
      </c>
      <c r="E36" s="7">
        <f t="shared" si="1"/>
        <v>-4259982</v>
      </c>
      <c r="F36" s="7">
        <f t="shared" si="1"/>
        <v>-4837575</v>
      </c>
      <c r="G36" s="7">
        <f t="shared" si="1"/>
        <v>-5896299</v>
      </c>
      <c r="H36" s="7">
        <f t="shared" si="1"/>
        <v>-7678922</v>
      </c>
      <c r="I36" s="7">
        <f t="shared" si="1"/>
        <v>-8925093</v>
      </c>
      <c r="J36" s="7">
        <f t="shared" si="1"/>
        <v>-10872186</v>
      </c>
      <c r="K36" s="7">
        <f t="shared" si="1"/>
        <v>-13614425</v>
      </c>
      <c r="L36" s="7">
        <f>SUM(L30:L35)</f>
        <v>-15668164</v>
      </c>
      <c r="M36" s="7">
        <f>SUM(M30:M34)</f>
        <v>-17574907</v>
      </c>
      <c r="N36" s="7">
        <f>SUM(N29:N35)</f>
        <v>-20550472</v>
      </c>
      <c r="O36" s="7">
        <f>SUM(O29:O35)</f>
        <v>-5093244</v>
      </c>
      <c r="P36" s="7">
        <f>SUM(P29:P35)</f>
        <v>-190324</v>
      </c>
    </row>
    <row r="37" spans="1:16" s="1" customFormat="1">
      <c r="A37" s="5" t="s">
        <v>133</v>
      </c>
      <c r="B37" s="8">
        <f>B36+B24</f>
        <v>-119473</v>
      </c>
      <c r="C37" s="8">
        <f>C36+C24</f>
        <v>-382411</v>
      </c>
      <c r="D37" s="8">
        <f t="shared" ref="D37:P37" si="2">D36+D24</f>
        <v>-17381</v>
      </c>
      <c r="E37" s="8">
        <f t="shared" si="2"/>
        <v>-872657</v>
      </c>
      <c r="F37" s="8">
        <f t="shared" si="2"/>
        <v>-1111831</v>
      </c>
      <c r="G37" s="8">
        <f t="shared" si="2"/>
        <v>-1397377</v>
      </c>
      <c r="H37" s="8">
        <f t="shared" si="2"/>
        <v>-2080032</v>
      </c>
      <c r="I37" s="8">
        <f t="shared" si="2"/>
        <v>-1235790</v>
      </c>
      <c r="J37" s="8">
        <f t="shared" si="2"/>
        <v>-2023519</v>
      </c>
      <c r="K37" s="8">
        <f t="shared" si="2"/>
        <v>-4116167</v>
      </c>
      <c r="L37" s="8">
        <f t="shared" si="2"/>
        <v>-4068728</v>
      </c>
      <c r="M37" s="8">
        <f t="shared" si="2"/>
        <v>-3295535</v>
      </c>
      <c r="N37" s="8">
        <f t="shared" si="2"/>
        <v>-4032957</v>
      </c>
      <c r="O37" s="8">
        <f t="shared" si="2"/>
        <v>1742423</v>
      </c>
      <c r="P37" s="8">
        <f t="shared" si="2"/>
        <v>19233889</v>
      </c>
    </row>
    <row r="39" spans="1:16">
      <c r="A39" t="s">
        <v>78</v>
      </c>
      <c r="M39" t="s">
        <v>60</v>
      </c>
    </row>
    <row r="40" spans="1:16">
      <c r="A40" t="s">
        <v>79</v>
      </c>
      <c r="L40" t="s">
        <v>60</v>
      </c>
      <c r="M40" t="s">
        <v>60</v>
      </c>
      <c r="N40" t="s">
        <v>61</v>
      </c>
      <c r="O40" t="s">
        <v>62</v>
      </c>
      <c r="P40" t="s">
        <v>60</v>
      </c>
    </row>
    <row r="41" spans="1:16">
      <c r="K41" t="s">
        <v>63</v>
      </c>
      <c r="M41" t="s">
        <v>60</v>
      </c>
      <c r="N41" t="s">
        <v>60</v>
      </c>
      <c r="O41" t="s">
        <v>65</v>
      </c>
    </row>
    <row r="42" spans="1:16" s="15" customFormat="1" ht="10.5">
      <c r="A42" s="14" t="s">
        <v>67</v>
      </c>
      <c r="B42" s="15">
        <f>B36</f>
        <v>-2103965</v>
      </c>
      <c r="C42" s="15">
        <f t="shared" ref="C42:P42" si="3">C36</f>
        <v>-2768307</v>
      </c>
      <c r="D42" s="15">
        <f t="shared" si="3"/>
        <v>-3177752</v>
      </c>
      <c r="E42" s="15">
        <f t="shared" si="3"/>
        <v>-4259982</v>
      </c>
      <c r="F42" s="15">
        <f t="shared" si="3"/>
        <v>-4837575</v>
      </c>
      <c r="G42" s="15">
        <f t="shared" si="3"/>
        <v>-5896299</v>
      </c>
      <c r="H42" s="15">
        <f t="shared" si="3"/>
        <v>-7678922</v>
      </c>
      <c r="I42" s="15">
        <f t="shared" si="3"/>
        <v>-8925093</v>
      </c>
      <c r="J42" s="15">
        <f t="shared" si="3"/>
        <v>-10872186</v>
      </c>
      <c r="K42" s="15">
        <f t="shared" si="3"/>
        <v>-13614425</v>
      </c>
      <c r="L42" s="15">
        <f t="shared" si="3"/>
        <v>-15668164</v>
      </c>
      <c r="M42" s="15">
        <f t="shared" si="3"/>
        <v>-17574907</v>
      </c>
      <c r="N42" s="15">
        <f t="shared" si="3"/>
        <v>-20550472</v>
      </c>
      <c r="O42" s="15">
        <f t="shared" si="3"/>
        <v>-5093244</v>
      </c>
      <c r="P42" s="15">
        <f t="shared" si="3"/>
        <v>-190324</v>
      </c>
    </row>
    <row r="43" spans="1:16" s="15" customFormat="1" ht="10.5">
      <c r="A43" s="14" t="s">
        <v>69</v>
      </c>
      <c r="B43" s="15">
        <f t="shared" ref="B43:P43" si="4">-(B42+B36)</f>
        <v>4207930</v>
      </c>
      <c r="C43" s="15">
        <f t="shared" si="4"/>
        <v>5536614</v>
      </c>
      <c r="D43" s="15">
        <f t="shared" si="4"/>
        <v>6355504</v>
      </c>
      <c r="E43" s="15">
        <f t="shared" si="4"/>
        <v>8519964</v>
      </c>
      <c r="F43" s="15">
        <f t="shared" si="4"/>
        <v>9675150</v>
      </c>
      <c r="G43" s="15">
        <f t="shared" si="4"/>
        <v>11792598</v>
      </c>
      <c r="H43" s="15">
        <f t="shared" si="4"/>
        <v>15357844</v>
      </c>
      <c r="I43" s="15">
        <f t="shared" si="4"/>
        <v>17850186</v>
      </c>
      <c r="J43" s="15">
        <f t="shared" si="4"/>
        <v>21744372</v>
      </c>
      <c r="K43" s="15">
        <f t="shared" si="4"/>
        <v>27228850</v>
      </c>
      <c r="L43" s="15">
        <f t="shared" si="4"/>
        <v>31336328</v>
      </c>
      <c r="M43" s="15">
        <f t="shared" si="4"/>
        <v>35149814</v>
      </c>
      <c r="N43" s="15">
        <f t="shared" si="4"/>
        <v>41100944</v>
      </c>
      <c r="O43" s="15">
        <f t="shared" si="4"/>
        <v>10186488</v>
      </c>
      <c r="P43" s="15">
        <f t="shared" si="4"/>
        <v>380648</v>
      </c>
    </row>
    <row r="44" spans="1:16" s="14" customFormat="1" ht="10.5">
      <c r="A44" s="14" t="s">
        <v>28</v>
      </c>
      <c r="B44" s="14">
        <f t="shared" ref="B44:P44" si="5">B43-B24</f>
        <v>2223438</v>
      </c>
      <c r="C44" s="14">
        <f t="shared" si="5"/>
        <v>3150718</v>
      </c>
      <c r="D44" s="14">
        <f t="shared" si="5"/>
        <v>3195133</v>
      </c>
      <c r="E44" s="14">
        <f t="shared" si="5"/>
        <v>5132639</v>
      </c>
      <c r="F44" s="14">
        <f t="shared" si="5"/>
        <v>5949406</v>
      </c>
      <c r="G44" s="14">
        <f t="shared" si="5"/>
        <v>7293676</v>
      </c>
      <c r="H44" s="14">
        <f t="shared" si="5"/>
        <v>9758954</v>
      </c>
      <c r="I44" s="14">
        <f t="shared" si="5"/>
        <v>10160883</v>
      </c>
      <c r="J44" s="14">
        <f t="shared" si="5"/>
        <v>12895705</v>
      </c>
      <c r="K44" s="14">
        <f t="shared" si="5"/>
        <v>17730592</v>
      </c>
      <c r="L44" s="14">
        <f t="shared" si="5"/>
        <v>19736892</v>
      </c>
      <c r="M44" s="14">
        <f t="shared" si="5"/>
        <v>20870442</v>
      </c>
      <c r="N44" s="14">
        <f t="shared" si="5"/>
        <v>24583429</v>
      </c>
      <c r="O44" s="14">
        <f t="shared" si="5"/>
        <v>3350821</v>
      </c>
      <c r="P44" s="14">
        <f t="shared" si="5"/>
        <v>-19043565</v>
      </c>
    </row>
    <row r="45" spans="1:16" s="15" customFormat="1" ht="10.5">
      <c r="A45" s="14"/>
    </row>
    <row r="46" spans="1:16" s="14" customFormat="1" ht="10.5"/>
    <row r="47" spans="1:16" s="14" customFormat="1" ht="10.5"/>
    <row r="48" spans="1:16" s="27" customFormat="1">
      <c r="A48" s="27" t="s">
        <v>35</v>
      </c>
      <c r="B48" s="27">
        <v>1967</v>
      </c>
      <c r="C48" s="27">
        <v>1968</v>
      </c>
      <c r="D48" s="27">
        <v>1969</v>
      </c>
      <c r="E48" s="27">
        <v>1970</v>
      </c>
      <c r="F48" s="27">
        <v>1971</v>
      </c>
      <c r="G48" s="27">
        <v>1972</v>
      </c>
      <c r="H48" s="27">
        <v>1973</v>
      </c>
      <c r="I48" s="27">
        <v>1974</v>
      </c>
      <c r="J48" s="27">
        <v>1975</v>
      </c>
      <c r="K48" s="27">
        <v>1976</v>
      </c>
      <c r="L48" s="27">
        <v>1977</v>
      </c>
      <c r="M48" s="27">
        <v>1978</v>
      </c>
      <c r="N48" s="27">
        <v>1979</v>
      </c>
      <c r="O48" s="27">
        <v>1980</v>
      </c>
      <c r="P48" s="27" t="s">
        <v>19</v>
      </c>
    </row>
    <row r="49" spans="1:16" s="20" customFormat="1">
      <c r="A49" s="19" t="s">
        <v>21</v>
      </c>
      <c r="M49" s="20" t="s">
        <v>60</v>
      </c>
      <c r="O49" s="20" t="s">
        <v>64</v>
      </c>
    </row>
    <row r="50" spans="1:16" s="23" customFormat="1" ht="10.5">
      <c r="A50" s="24" t="s">
        <v>36</v>
      </c>
      <c r="B50" s="22">
        <f>B44</f>
        <v>2223438</v>
      </c>
      <c r="C50" s="22">
        <f t="shared" ref="C50:P50" si="6">C44</f>
        <v>3150718</v>
      </c>
      <c r="D50" s="22">
        <f t="shared" si="6"/>
        <v>3195133</v>
      </c>
      <c r="E50" s="22">
        <f t="shared" si="6"/>
        <v>5132639</v>
      </c>
      <c r="F50" s="22">
        <f t="shared" si="6"/>
        <v>5949406</v>
      </c>
      <c r="G50" s="22">
        <f t="shared" si="6"/>
        <v>7293676</v>
      </c>
      <c r="H50" s="22">
        <f t="shared" si="6"/>
        <v>9758954</v>
      </c>
      <c r="I50" s="22">
        <f t="shared" si="6"/>
        <v>10160883</v>
      </c>
      <c r="J50" s="22">
        <f t="shared" si="6"/>
        <v>12895705</v>
      </c>
      <c r="K50" s="22">
        <f t="shared" si="6"/>
        <v>17730592</v>
      </c>
      <c r="L50" s="22">
        <f t="shared" si="6"/>
        <v>19736892</v>
      </c>
      <c r="M50" s="22">
        <f t="shared" si="6"/>
        <v>20870442</v>
      </c>
      <c r="N50" s="22">
        <f t="shared" si="6"/>
        <v>24583429</v>
      </c>
      <c r="O50" s="22">
        <f t="shared" si="6"/>
        <v>3350821</v>
      </c>
      <c r="P50" s="22">
        <f t="shared" si="6"/>
        <v>-19043565</v>
      </c>
    </row>
    <row r="51" spans="1:16" s="23" customFormat="1" ht="10.5">
      <c r="A51" s="21" t="s">
        <v>3</v>
      </c>
      <c r="B51" s="22">
        <f t="shared" ref="B51:P51" si="7">B44*0.75</f>
        <v>1667578.5</v>
      </c>
      <c r="C51" s="22">
        <f t="shared" si="7"/>
        <v>2363038.5</v>
      </c>
      <c r="D51" s="22">
        <f t="shared" si="7"/>
        <v>2396349.75</v>
      </c>
      <c r="E51" s="22">
        <f t="shared" si="7"/>
        <v>3849479.25</v>
      </c>
      <c r="F51" s="22">
        <f t="shared" si="7"/>
        <v>4462054.5</v>
      </c>
      <c r="G51" s="22">
        <f t="shared" si="7"/>
        <v>5470257</v>
      </c>
      <c r="H51" s="22">
        <f t="shared" si="7"/>
        <v>7319215.5</v>
      </c>
      <c r="I51" s="22">
        <f t="shared" si="7"/>
        <v>7620662.25</v>
      </c>
      <c r="J51" s="22">
        <f t="shared" si="7"/>
        <v>9671778.75</v>
      </c>
      <c r="K51" s="22">
        <f t="shared" si="7"/>
        <v>13297944</v>
      </c>
      <c r="L51" s="22">
        <f t="shared" si="7"/>
        <v>14802669</v>
      </c>
      <c r="M51" s="22">
        <f t="shared" si="7"/>
        <v>15652831.5</v>
      </c>
      <c r="N51" s="22">
        <f t="shared" si="7"/>
        <v>18437571.75</v>
      </c>
      <c r="O51" s="22">
        <f t="shared" si="7"/>
        <v>2513115.75</v>
      </c>
      <c r="P51" s="22">
        <f t="shared" si="7"/>
        <v>-14282673.75</v>
      </c>
    </row>
    <row r="52" spans="1:16" s="23" customFormat="1" ht="10.5">
      <c r="A52" s="21" t="s">
        <v>4</v>
      </c>
      <c r="B52" s="22">
        <v>0</v>
      </c>
      <c r="C52" s="22">
        <f>B50*0.25</f>
        <v>555859.5</v>
      </c>
      <c r="D52" s="22">
        <f>C50*0.25</f>
        <v>787679.5</v>
      </c>
      <c r="E52" s="22">
        <f>D50*0.25</f>
        <v>798783.25</v>
      </c>
      <c r="F52" s="22">
        <f t="shared" ref="F52:P52" si="8">E50*0.25</f>
        <v>1283159.75</v>
      </c>
      <c r="G52" s="22">
        <f t="shared" si="8"/>
        <v>1487351.5</v>
      </c>
      <c r="H52" s="22">
        <f t="shared" si="8"/>
        <v>1823419</v>
      </c>
      <c r="I52" s="22">
        <f t="shared" si="8"/>
        <v>2439738.5</v>
      </c>
      <c r="J52" s="22">
        <f t="shared" si="8"/>
        <v>2540220.75</v>
      </c>
      <c r="K52" s="22">
        <f t="shared" si="8"/>
        <v>3223926.25</v>
      </c>
      <c r="L52" s="22">
        <f t="shared" si="8"/>
        <v>4432648</v>
      </c>
      <c r="M52" s="22">
        <f t="shared" si="8"/>
        <v>4934223</v>
      </c>
      <c r="N52" s="22">
        <f t="shared" si="8"/>
        <v>5217610.5</v>
      </c>
      <c r="O52" s="22">
        <f t="shared" si="8"/>
        <v>6145857.25</v>
      </c>
      <c r="P52" s="22">
        <f t="shared" si="8"/>
        <v>837705.25</v>
      </c>
    </row>
    <row r="53" spans="1:16" s="22" customFormat="1" ht="10.5">
      <c r="A53" s="24" t="s">
        <v>27</v>
      </c>
    </row>
    <row r="54" spans="1:16" s="22" customFormat="1" ht="10.5">
      <c r="A54" s="22" t="s">
        <v>38</v>
      </c>
      <c r="C54" s="22">
        <f>B59*0.45*(1+C62)+C52*0.45*((1+C62)^0.75)</f>
        <v>1210047.4509049738</v>
      </c>
      <c r="D54" s="22">
        <f t="shared" ref="D54:P54" si="9">C59*0.45*(1+D62)+D52*0.45*((1+D62)^0.75)</f>
        <v>2510731.9739206755</v>
      </c>
      <c r="E54" s="22">
        <f t="shared" si="9"/>
        <v>3800818.5790973217</v>
      </c>
      <c r="F54" s="22">
        <f t="shared" si="9"/>
        <v>6955880.3460889459</v>
      </c>
      <c r="G54" s="22">
        <f t="shared" si="9"/>
        <v>12331149.723436322</v>
      </c>
      <c r="H54" s="22">
        <f t="shared" si="9"/>
        <v>14550980.822986888</v>
      </c>
      <c r="I54" s="22">
        <f t="shared" si="9"/>
        <v>14081449.223065881</v>
      </c>
      <c r="J54" s="22">
        <f t="shared" si="9"/>
        <v>24738916.054614257</v>
      </c>
      <c r="K54" s="22">
        <f t="shared" si="9"/>
        <v>33161662.545993116</v>
      </c>
      <c r="L54" s="22">
        <f t="shared" si="9"/>
        <v>46628138.192304946</v>
      </c>
      <c r="M54" s="22">
        <f t="shared" si="9"/>
        <v>70580684.2545093</v>
      </c>
      <c r="N54" s="22">
        <f t="shared" si="9"/>
        <v>105440491.75698653</v>
      </c>
      <c r="O54" s="22">
        <f t="shared" si="9"/>
        <v>131162477.17053239</v>
      </c>
      <c r="P54" s="22">
        <f t="shared" si="9"/>
        <v>109121495.86713395</v>
      </c>
    </row>
    <row r="55" spans="1:16" s="22" customFormat="1" ht="12.95" customHeight="1">
      <c r="A55" s="22" t="s">
        <v>37</v>
      </c>
      <c r="C55" s="22">
        <f>B59*0.24*(1+C63)+C52*0.24*((1+C63)^0.75)</f>
        <v>529622.128482125</v>
      </c>
      <c r="D55" s="22">
        <f t="shared" ref="D55:P55" si="10">C59*0.24*(1+D63)+D52*0.24*((1+D63)^0.75)</f>
        <v>1323422.8411854471</v>
      </c>
      <c r="E55" s="22">
        <f t="shared" si="10"/>
        <v>2550735.9030270926</v>
      </c>
      <c r="F55" s="22">
        <f t="shared" si="10"/>
        <v>3828684.8366244445</v>
      </c>
      <c r="G55" s="22">
        <f t="shared" si="10"/>
        <v>5240490.7806539526</v>
      </c>
      <c r="H55" s="22">
        <f t="shared" si="10"/>
        <v>7870390.9208721621</v>
      </c>
      <c r="I55" s="22">
        <f t="shared" si="10"/>
        <v>9925448.5847380459</v>
      </c>
      <c r="J55" s="22">
        <f t="shared" si="10"/>
        <v>11471846.144694965</v>
      </c>
      <c r="K55" s="22">
        <f t="shared" si="10"/>
        <v>18945201.649294883</v>
      </c>
      <c r="L55" s="22">
        <f t="shared" si="10"/>
        <v>23815702.215166822</v>
      </c>
      <c r="M55" s="22">
        <f t="shared" si="10"/>
        <v>29464728.847965203</v>
      </c>
      <c r="N55" s="22">
        <f t="shared" si="10"/>
        <v>37942453.958281435</v>
      </c>
      <c r="O55" s="22">
        <f t="shared" si="10"/>
        <v>54952143.638991669</v>
      </c>
      <c r="P55" s="22">
        <f t="shared" si="10"/>
        <v>62882561.261080906</v>
      </c>
    </row>
    <row r="56" spans="1:16" s="22" customFormat="1" ht="10.5">
      <c r="A56" s="22" t="s">
        <v>31</v>
      </c>
      <c r="C56" s="22">
        <f>B59*0.09*(1+C64)+C52*0.09*((1+C64)^0.75)</f>
        <v>205677.12996108478</v>
      </c>
      <c r="D56" s="22">
        <f t="shared" ref="D56:P56" si="11">C59*0.09*(1+D64)+D52*0.09*((1+D64)^0.75)</f>
        <v>490712.05950210779</v>
      </c>
      <c r="E56" s="22">
        <f t="shared" si="11"/>
        <v>878920.05443184299</v>
      </c>
      <c r="F56" s="22">
        <f t="shared" si="11"/>
        <v>1465338.2432792564</v>
      </c>
      <c r="G56" s="22">
        <f t="shared" si="11"/>
        <v>2114300.3671897841</v>
      </c>
      <c r="H56" s="22">
        <f t="shared" si="11"/>
        <v>3098980.9331979556</v>
      </c>
      <c r="I56" s="22">
        <f t="shared" si="11"/>
        <v>3952907.3082249803</v>
      </c>
      <c r="J56" s="22">
        <f t="shared" si="11"/>
        <v>4688897.7228364963</v>
      </c>
      <c r="K56" s="22">
        <f t="shared" si="11"/>
        <v>6820624.7587973811</v>
      </c>
      <c r="L56" s="22">
        <f t="shared" si="11"/>
        <v>9651134.1514229514</v>
      </c>
      <c r="M56" s="22">
        <f t="shared" si="11"/>
        <v>11648432.705350865</v>
      </c>
      <c r="N56" s="22">
        <f t="shared" si="11"/>
        <v>15428143.866571434</v>
      </c>
      <c r="O56" s="22">
        <f t="shared" si="11"/>
        <v>21818107.556152597</v>
      </c>
      <c r="P56" s="22">
        <f t="shared" si="11"/>
        <v>26739360.318818074</v>
      </c>
    </row>
    <row r="57" spans="1:16" s="22" customFormat="1" ht="10.5">
      <c r="A57" s="22" t="s">
        <v>32</v>
      </c>
      <c r="C57" s="22">
        <f>B59*0.11*(1+C65)+C52*0.11*((1+C65)^0.75)</f>
        <v>259390.00359662322</v>
      </c>
      <c r="D57" s="22">
        <f t="shared" ref="D57:P57" si="12">C59*0.11*(1+D65)+D52*0.11*((1+D65)^0.75)</f>
        <v>662876.79200696258</v>
      </c>
      <c r="E57" s="22">
        <f t="shared" si="12"/>
        <v>1024453.6983206061</v>
      </c>
      <c r="F57" s="22">
        <f t="shared" si="12"/>
        <v>1635332.7205282077</v>
      </c>
      <c r="G57" s="22">
        <f t="shared" si="12"/>
        <v>2459783.79681639</v>
      </c>
      <c r="H57" s="22">
        <f t="shared" si="12"/>
        <v>3738362.636343651</v>
      </c>
      <c r="I57" s="22">
        <f t="shared" si="12"/>
        <v>5001271.8038255945</v>
      </c>
      <c r="J57" s="22">
        <f t="shared" si="12"/>
        <v>5496975.9120451128</v>
      </c>
      <c r="K57" s="22">
        <f t="shared" si="12"/>
        <v>7992176.9737689635</v>
      </c>
      <c r="L57" s="22">
        <f t="shared" si="12"/>
        <v>11107925.456017081</v>
      </c>
      <c r="M57" s="22">
        <f t="shared" si="12"/>
        <v>14512666.714794204</v>
      </c>
      <c r="N57" s="22">
        <f t="shared" si="12"/>
        <v>20074491.723808318</v>
      </c>
      <c r="O57" s="22">
        <f t="shared" si="12"/>
        <v>28043448.779995017</v>
      </c>
      <c r="P57" s="22">
        <f t="shared" si="12"/>
        <v>35769464.536976606</v>
      </c>
    </row>
    <row r="58" spans="1:16" s="22" customFormat="1" ht="10.5">
      <c r="A58" s="22" t="s">
        <v>39</v>
      </c>
      <c r="B58" s="22" t="s">
        <v>61</v>
      </c>
      <c r="C58" s="22">
        <f>B59*0.11*(1+C66)+C52*0.11*((1+C66)^0.75)</f>
        <v>267908.72782233276</v>
      </c>
      <c r="D58" s="22">
        <f t="shared" ref="D58:P58" si="13">C59*0.11*(1+D66)+D52*0.11*((1+D66)^0.75)</f>
        <v>568789.05862144963</v>
      </c>
      <c r="E58" s="22">
        <f t="shared" si="13"/>
        <v>948100.12913298444</v>
      </c>
      <c r="F58" s="22">
        <f t="shared" si="13"/>
        <v>1765123.2124695354</v>
      </c>
      <c r="G58" s="22">
        <f t="shared" si="13"/>
        <v>2810270.2131132297</v>
      </c>
      <c r="H58" s="22">
        <f t="shared" si="13"/>
        <v>3038880.0358948726</v>
      </c>
      <c r="I58" s="22">
        <f t="shared" si="13"/>
        <v>3384025.9631574526</v>
      </c>
      <c r="J58" s="22">
        <f t="shared" si="13"/>
        <v>7168579.9671324668</v>
      </c>
      <c r="K58" s="22">
        <f t="shared" si="13"/>
        <v>9055220.3012579996</v>
      </c>
      <c r="L58" s="22">
        <f t="shared" si="13"/>
        <v>10282138.057243316</v>
      </c>
      <c r="M58" s="22">
        <f t="shared" si="13"/>
        <v>15235350.164185144</v>
      </c>
      <c r="N58" s="22">
        <f t="shared" si="13"/>
        <v>20907982.40244408</v>
      </c>
      <c r="O58" s="22">
        <f t="shared" si="13"/>
        <v>33349470.656913314</v>
      </c>
      <c r="P58" s="22">
        <f t="shared" si="13"/>
        <v>27962967.415514756</v>
      </c>
    </row>
    <row r="59" spans="1:16" s="24" customFormat="1" ht="10.5">
      <c r="A59" s="24" t="s">
        <v>17</v>
      </c>
      <c r="B59" s="24">
        <f>B51</f>
        <v>1667578.5</v>
      </c>
      <c r="C59" s="24">
        <f>SUM(C54:C58)+C51</f>
        <v>4835683.9407671392</v>
      </c>
      <c r="D59" s="24">
        <f t="shared" ref="D59:P59" si="14">SUM(D54:D58)+D51</f>
        <v>7952882.4752366431</v>
      </c>
      <c r="E59" s="24">
        <f t="shared" si="14"/>
        <v>13052507.614009848</v>
      </c>
      <c r="F59" s="24">
        <f t="shared" si="14"/>
        <v>20112413.858990386</v>
      </c>
      <c r="G59" s="24">
        <f t="shared" si="14"/>
        <v>30426251.881209679</v>
      </c>
      <c r="H59" s="24">
        <f t="shared" si="14"/>
        <v>39616810.849295527</v>
      </c>
      <c r="I59" s="24">
        <f t="shared" si="14"/>
        <v>43965765.133011952</v>
      </c>
      <c r="J59" s="24">
        <f t="shared" si="14"/>
        <v>63236994.551323295</v>
      </c>
      <c r="K59" s="24">
        <f t="shared" si="14"/>
        <v>89272830.229112342</v>
      </c>
      <c r="L59" s="24">
        <f t="shared" si="14"/>
        <v>116287707.07215512</v>
      </c>
      <c r="M59" s="24">
        <f t="shared" si="14"/>
        <v>157094694.18680471</v>
      </c>
      <c r="N59" s="24">
        <f t="shared" si="14"/>
        <v>218231135.4580918</v>
      </c>
      <c r="O59" s="24">
        <f>SUM(O54:O58)</f>
        <v>269325647.80258501</v>
      </c>
      <c r="P59" s="24">
        <f t="shared" si="14"/>
        <v>248193175.64952427</v>
      </c>
    </row>
    <row r="60" spans="1:16" s="15" customFormat="1" ht="12" customHeight="1">
      <c r="C60" s="29"/>
      <c r="D60" s="13"/>
      <c r="O60" s="14" t="s">
        <v>20</v>
      </c>
    </row>
    <row r="61" spans="1:16" s="14" customFormat="1">
      <c r="A61" s="16" t="s">
        <v>34</v>
      </c>
      <c r="B61" s="16">
        <v>1967</v>
      </c>
      <c r="C61" s="16">
        <v>1968</v>
      </c>
      <c r="D61" s="16">
        <v>1969</v>
      </c>
      <c r="E61" s="16">
        <v>1970</v>
      </c>
      <c r="F61" s="16">
        <v>1971</v>
      </c>
      <c r="G61" s="16">
        <v>1972</v>
      </c>
      <c r="H61" s="16">
        <v>1973</v>
      </c>
      <c r="I61" s="16">
        <v>1974</v>
      </c>
      <c r="J61" s="16">
        <v>1975</v>
      </c>
      <c r="K61" s="1">
        <v>1976</v>
      </c>
      <c r="L61" s="1">
        <v>1977</v>
      </c>
      <c r="M61" s="1">
        <v>1978</v>
      </c>
      <c r="N61" s="1">
        <v>1979</v>
      </c>
      <c r="O61" s="1">
        <v>1980</v>
      </c>
      <c r="P61" s="1">
        <v>1981</v>
      </c>
    </row>
    <row r="62" spans="1:16" s="15" customFormat="1">
      <c r="A62" s="16" t="s">
        <v>72</v>
      </c>
      <c r="B62" s="10">
        <v>0.18090000000000001</v>
      </c>
      <c r="C62" s="10">
        <v>0.22450000000000001</v>
      </c>
      <c r="D62" s="10">
        <v>-8.1000000000000013E-3</v>
      </c>
      <c r="E62" s="10">
        <v>-3.5700000000000003E-2</v>
      </c>
      <c r="F62" s="10">
        <v>8.0100000000000005E-2</v>
      </c>
      <c r="G62" s="10">
        <v>0.27379999999999999</v>
      </c>
      <c r="H62" s="10">
        <v>2.7000000000000001E-3</v>
      </c>
      <c r="I62" s="10">
        <v>-0.25929999999999997</v>
      </c>
      <c r="J62" s="10">
        <v>0.18480000000000002</v>
      </c>
      <c r="K62">
        <v>0.11019999999999999</v>
      </c>
      <c r="L62">
        <v>0.10710000000000001</v>
      </c>
      <c r="M62">
        <v>0.29720000000000002</v>
      </c>
      <c r="N62">
        <v>0.44770000000000004</v>
      </c>
      <c r="O62">
        <v>0.30130000000000001</v>
      </c>
      <c r="P62">
        <v>-0.10250000000000001</v>
      </c>
    </row>
    <row r="63" spans="1:16" s="15" customFormat="1">
      <c r="A63" s="16" t="s">
        <v>73</v>
      </c>
      <c r="B63" s="10">
        <v>-2.2000000000000002E-2</v>
      </c>
      <c r="C63" s="10">
        <v>-8.0000000000000002E-3</v>
      </c>
      <c r="D63" s="10">
        <v>-2.01E-2</v>
      </c>
      <c r="E63" s="10">
        <v>0.2198</v>
      </c>
      <c r="F63" s="10">
        <v>0.11550000000000001</v>
      </c>
      <c r="G63" s="10">
        <v>1.11E-2</v>
      </c>
      <c r="H63" s="10">
        <v>1.7100000000000001E-2</v>
      </c>
      <c r="I63" s="10">
        <v>-1.6899999999999998E-2</v>
      </c>
      <c r="J63" s="10">
        <v>2.8199999999999999E-2</v>
      </c>
      <c r="K63">
        <v>0.19020000000000001</v>
      </c>
      <c r="L63">
        <v>5.9699999999999996E-2</v>
      </c>
      <c r="M63">
        <v>1.29E-2</v>
      </c>
      <c r="N63">
        <v>-2.6200000000000001E-2</v>
      </c>
      <c r="O63">
        <v>2.06E-2</v>
      </c>
      <c r="P63">
        <v>-3.0200000000000001E-2</v>
      </c>
    </row>
    <row r="64" spans="1:16" s="15" customFormat="1">
      <c r="A64" s="16" t="s">
        <v>74</v>
      </c>
      <c r="B64" s="10">
        <v>2.2100000000000002E-2</v>
      </c>
      <c r="C64" s="10">
        <v>2.9700000000000004E-2</v>
      </c>
      <c r="D64" s="10">
        <v>-3.15E-2</v>
      </c>
      <c r="E64" s="10">
        <v>0.1187</v>
      </c>
      <c r="F64" s="10">
        <v>0.13900000000000001</v>
      </c>
      <c r="G64" s="10">
        <v>8.9200000000000002E-2</v>
      </c>
      <c r="H64" s="10">
        <v>6.8699999999999997E-2</v>
      </c>
      <c r="I64" s="10">
        <v>4.4999999999999998E-2</v>
      </c>
      <c r="J64" s="10">
        <v>0.122</v>
      </c>
      <c r="K64">
        <v>0.1421</v>
      </c>
      <c r="L64">
        <v>0.1462</v>
      </c>
      <c r="M64">
        <v>6.8400000000000002E-2</v>
      </c>
      <c r="N64">
        <v>5.6600000000000004E-2</v>
      </c>
      <c r="O64">
        <v>8.1000000000000003E-2</v>
      </c>
      <c r="P64">
        <v>9.98E-2</v>
      </c>
    </row>
    <row r="65" spans="1:16" s="15" customFormat="1">
      <c r="A65" s="16" t="s">
        <v>75</v>
      </c>
      <c r="B65" s="10">
        <v>4.6200000000000005E-2</v>
      </c>
      <c r="C65" s="10">
        <v>6.4699999999999994E-2</v>
      </c>
      <c r="D65" s="10">
        <v>7.4300000000000005E-2</v>
      </c>
      <c r="E65" s="10">
        <v>6.5700000000000008E-2</v>
      </c>
      <c r="F65" s="10">
        <v>3.7900000000000003E-2</v>
      </c>
      <c r="G65" s="10">
        <v>3.5900000000000001E-2</v>
      </c>
      <c r="H65" s="10">
        <v>5.4600000000000003E-2</v>
      </c>
      <c r="I65" s="10">
        <v>8.2300000000000012E-2</v>
      </c>
      <c r="J65" s="10">
        <v>7.5600000000000001E-2</v>
      </c>
      <c r="K65">
        <v>9.4399999999999998E-2</v>
      </c>
      <c r="L65">
        <v>7.8600000000000003E-2</v>
      </c>
      <c r="M65">
        <v>8.9300000000000004E-2</v>
      </c>
      <c r="N65">
        <v>0.12539999999999998</v>
      </c>
      <c r="O65">
        <v>0.13720000000000002</v>
      </c>
      <c r="P65">
        <v>0.20379999999999998</v>
      </c>
    </row>
    <row r="66" spans="1:16" s="15" customFormat="1">
      <c r="A66" s="16" t="s">
        <v>76</v>
      </c>
      <c r="B66" s="10">
        <v>0.2356</v>
      </c>
      <c r="C66" s="10">
        <v>0.10199999999999999</v>
      </c>
      <c r="D66" s="10">
        <v>-8.3299999999999999E-2</v>
      </c>
      <c r="E66" s="10">
        <v>-1.5500000000000002E-2</v>
      </c>
      <c r="F66" s="10">
        <v>0.1222</v>
      </c>
      <c r="G66" s="10">
        <v>0.1862</v>
      </c>
      <c r="H66" s="10">
        <v>-0.14529999999999998</v>
      </c>
      <c r="I66" s="10">
        <v>-0.27200000000000002</v>
      </c>
      <c r="J66" s="10">
        <v>0.40759999999999996</v>
      </c>
      <c r="K66">
        <v>0.24180000000000001</v>
      </c>
      <c r="L66">
        <v>-2.5000000000000001E-3</v>
      </c>
      <c r="M66">
        <v>0.14410000000000001</v>
      </c>
      <c r="N66">
        <v>0.17250000000000001</v>
      </c>
      <c r="O66">
        <v>0.35389999999999999</v>
      </c>
      <c r="P66">
        <v>-5.91E-2</v>
      </c>
    </row>
    <row r="67" spans="1:16" s="15" customFormat="1" ht="10.5"/>
    <row r="68" spans="1:16" s="15" customFormat="1" ht="10.5">
      <c r="A68" s="10"/>
      <c r="B68" s="10"/>
      <c r="C68" s="10"/>
      <c r="D68" s="10"/>
      <c r="E68" s="10"/>
      <c r="F68" s="10"/>
    </row>
    <row r="69" spans="1:16" s="1" customFormat="1">
      <c r="A69" s="1" t="s">
        <v>23</v>
      </c>
      <c r="B69" s="1" t="s">
        <v>139</v>
      </c>
      <c r="C69" s="1" t="s">
        <v>109</v>
      </c>
      <c r="D69" s="1" t="s">
        <v>110</v>
      </c>
      <c r="E69" s="1" t="s">
        <v>92</v>
      </c>
      <c r="F69" s="1" t="s">
        <v>111</v>
      </c>
      <c r="G69" s="1" t="s">
        <v>112</v>
      </c>
      <c r="H69" s="1" t="s">
        <v>113</v>
      </c>
      <c r="I69" s="1" t="s">
        <v>114</v>
      </c>
      <c r="J69" s="1" t="s">
        <v>98</v>
      </c>
      <c r="K69" s="1" t="s">
        <v>100</v>
      </c>
      <c r="L69" s="1" t="s">
        <v>102</v>
      </c>
      <c r="M69" s="1" t="s">
        <v>115</v>
      </c>
      <c r="N69" s="1" t="s">
        <v>105</v>
      </c>
      <c r="O69" s="1" t="s">
        <v>107</v>
      </c>
      <c r="P69" s="1" t="s">
        <v>108</v>
      </c>
    </row>
    <row r="70" spans="1:16" s="20" customFormat="1">
      <c r="A70" s="19" t="s">
        <v>25</v>
      </c>
      <c r="M70" s="20" t="s">
        <v>60</v>
      </c>
      <c r="O70" s="20" t="s">
        <v>64</v>
      </c>
    </row>
    <row r="71" spans="1:16" s="23" customFormat="1" ht="10.5">
      <c r="A71" s="24" t="s">
        <v>36</v>
      </c>
      <c r="B71" s="22">
        <f>B44</f>
        <v>2223438</v>
      </c>
      <c r="C71" s="22">
        <f t="shared" ref="C71:P71" si="15">C44</f>
        <v>3150718</v>
      </c>
      <c r="D71" s="22">
        <f t="shared" si="15"/>
        <v>3195133</v>
      </c>
      <c r="E71" s="22">
        <f t="shared" si="15"/>
        <v>5132639</v>
      </c>
      <c r="F71" s="22">
        <f t="shared" si="15"/>
        <v>5949406</v>
      </c>
      <c r="G71" s="22">
        <f t="shared" si="15"/>
        <v>7293676</v>
      </c>
      <c r="H71" s="22">
        <f t="shared" si="15"/>
        <v>9758954</v>
      </c>
      <c r="I71" s="22">
        <f t="shared" si="15"/>
        <v>10160883</v>
      </c>
      <c r="J71" s="22">
        <f t="shared" si="15"/>
        <v>12895705</v>
      </c>
      <c r="K71" s="22">
        <f t="shared" si="15"/>
        <v>17730592</v>
      </c>
      <c r="L71" s="22">
        <f t="shared" si="15"/>
        <v>19736892</v>
      </c>
      <c r="M71" s="22">
        <f t="shared" si="15"/>
        <v>20870442</v>
      </c>
      <c r="N71" s="22">
        <f t="shared" si="15"/>
        <v>24583429</v>
      </c>
      <c r="O71" s="22">
        <f t="shared" si="15"/>
        <v>3350821</v>
      </c>
      <c r="P71" s="22">
        <f t="shared" si="15"/>
        <v>-19043565</v>
      </c>
    </row>
    <row r="72" spans="1:16" s="22" customFormat="1" ht="10.5">
      <c r="A72" s="24" t="s">
        <v>27</v>
      </c>
    </row>
    <row r="73" spans="1:16" s="22" customFormat="1" ht="10.5">
      <c r="A73" s="22" t="s">
        <v>38</v>
      </c>
      <c r="C73" s="22">
        <f>(B78*0.45*((1+C62)^0.75)*(1+D62)^0.25)</f>
        <v>1162314.3567925221</v>
      </c>
      <c r="D73" s="22">
        <f t="shared" ref="D73:P73" si="16">(C78*0.45*((1+D62)^0.75)*(1+E62)^0.25)</f>
        <v>2465206.909839265</v>
      </c>
      <c r="E73" s="22">
        <f t="shared" si="16"/>
        <v>3915743.0737498272</v>
      </c>
      <c r="F73" s="22">
        <f t="shared" si="16"/>
        <v>7318860.5386283742</v>
      </c>
      <c r="G73" s="22">
        <f t="shared" si="16"/>
        <v>11859464.326553533</v>
      </c>
      <c r="H73" s="22">
        <f t="shared" si="16"/>
        <v>13297698.295485443</v>
      </c>
      <c r="I73" s="22">
        <f t="shared" si="16"/>
        <v>15134155.895654082</v>
      </c>
      <c r="J73" s="22">
        <f t="shared" si="16"/>
        <v>24867107.548079412</v>
      </c>
      <c r="K73" s="22">
        <f t="shared" si="16"/>
        <v>33674765.554121636</v>
      </c>
      <c r="L73" s="22">
        <f t="shared" si="16"/>
        <v>48657730.604802966</v>
      </c>
      <c r="M73" s="22">
        <f t="shared" si="16"/>
        <v>74002600.46670416</v>
      </c>
      <c r="N73" s="22">
        <f t="shared" si="16"/>
        <v>105875285.21398634</v>
      </c>
      <c r="O73" s="22">
        <f t="shared" si="16"/>
        <v>122163640.57297803</v>
      </c>
      <c r="P73" s="22">
        <f t="shared" si="16"/>
        <v>107913651.30257498</v>
      </c>
    </row>
    <row r="74" spans="1:16" s="22" customFormat="1" ht="12.95" customHeight="1">
      <c r="A74" s="22" t="s">
        <v>37</v>
      </c>
      <c r="C74" s="22">
        <f>(B78*0.24*((1+C63)^0.75)*(1+D63)^0.25)</f>
        <v>527734.46649772534</v>
      </c>
      <c r="D74" s="22">
        <f t="shared" ref="D74:P74" si="17">(C78*0.24*((1+D63)^0.75)*(1+E63)^0.25)</f>
        <v>1381677.2934059391</v>
      </c>
      <c r="E74" s="22">
        <f t="shared" si="17"/>
        <v>2511144.2741028992</v>
      </c>
      <c r="F74" s="22">
        <f t="shared" si="17"/>
        <v>3774588.5879533696</v>
      </c>
      <c r="G74" s="22">
        <f t="shared" si="17"/>
        <v>5338037.3749127882</v>
      </c>
      <c r="H74" s="22">
        <f t="shared" si="17"/>
        <v>7694112.2960834848</v>
      </c>
      <c r="I74" s="22">
        <f t="shared" si="17"/>
        <v>9633444.1370517854</v>
      </c>
      <c r="J74" s="22">
        <f t="shared" si="17"/>
        <v>12133975.028217465</v>
      </c>
      <c r="K74" s="22">
        <f t="shared" si="17"/>
        <v>18716143.737092793</v>
      </c>
      <c r="L74" s="22">
        <f t="shared" si="17"/>
        <v>23606823.228589326</v>
      </c>
      <c r="M74" s="22">
        <f t="shared" si="17"/>
        <v>29690207.405340105</v>
      </c>
      <c r="N74" s="22">
        <f t="shared" si="17"/>
        <v>39469011.679604195</v>
      </c>
      <c r="O74" s="22">
        <f t="shared" si="17"/>
        <v>55361930.49914185</v>
      </c>
      <c r="P74" s="22">
        <f t="shared" si="17"/>
        <v>60997341.494532563</v>
      </c>
    </row>
    <row r="75" spans="1:16" s="22" customFormat="1" ht="10.5">
      <c r="A75" s="22" t="s">
        <v>31</v>
      </c>
      <c r="C75" s="22">
        <f>(B78*0.09*((1+C64)^0.75)*(1+D64)^0.25)</f>
        <v>202920.28986565603</v>
      </c>
      <c r="D75" s="22">
        <f t="shared" ref="D75:P75" si="18">(C78*0.09*((1+D64)^0.75)*(1+E64)^0.25)</f>
        <v>502611.6385408098</v>
      </c>
      <c r="E75" s="22">
        <f t="shared" si="18"/>
        <v>887125.83511128451</v>
      </c>
      <c r="F75" s="22">
        <f t="shared" si="18"/>
        <v>1464771.5053834263</v>
      </c>
      <c r="G75" s="22">
        <f t="shared" si="18"/>
        <v>2142994.5099107395</v>
      </c>
      <c r="H75" s="22">
        <f t="shared" si="18"/>
        <v>3040454.8119526519</v>
      </c>
      <c r="I75" s="22">
        <f t="shared" si="18"/>
        <v>3865276.898842887</v>
      </c>
      <c r="J75" s="22">
        <f t="shared" si="18"/>
        <v>4808303.294983726</v>
      </c>
      <c r="K75" s="22">
        <f t="shared" si="18"/>
        <v>6939531.4163817223</v>
      </c>
      <c r="L75" s="22">
        <f t="shared" si="18"/>
        <v>9515218.0523157772</v>
      </c>
      <c r="M75" s="22">
        <f t="shared" si="18"/>
        <v>11827152.301045766</v>
      </c>
      <c r="N75" s="22">
        <f t="shared" si="18"/>
        <v>15962859.051620863</v>
      </c>
      <c r="O75" s="22">
        <f t="shared" si="18"/>
        <v>22368042.275089227</v>
      </c>
      <c r="P75" s="22">
        <f t="shared" si="18"/>
        <v>25137137.836794853</v>
      </c>
    </row>
    <row r="76" spans="1:16" s="22" customFormat="1" ht="10.5">
      <c r="A76" s="22" t="s">
        <v>32</v>
      </c>
      <c r="C76" s="22">
        <f>(B78*0.11*((1+C65)^0.75)*(1+D65)^0.25)</f>
        <v>260987.40151024167</v>
      </c>
      <c r="D76" s="22">
        <f t="shared" ref="D76:P76" si="19">(C78*0.11*((1+D65)^0.75)*(1+E65)^0.25)</f>
        <v>655967.78527979716</v>
      </c>
      <c r="E76" s="22">
        <f t="shared" si="19"/>
        <v>1021490.5318410126</v>
      </c>
      <c r="F76" s="22">
        <f t="shared" si="19"/>
        <v>1648908.093282046</v>
      </c>
      <c r="G76" s="22">
        <f t="shared" si="19"/>
        <v>2514125.0419303672</v>
      </c>
      <c r="H76" s="22">
        <f t="shared" si="19"/>
        <v>3711680.1056834282</v>
      </c>
      <c r="I76" s="22">
        <f t="shared" si="19"/>
        <v>4799199.426415978</v>
      </c>
      <c r="J76" s="22">
        <f t="shared" si="19"/>
        <v>5633177.9467419935</v>
      </c>
      <c r="K76" s="22">
        <f t="shared" si="19"/>
        <v>8090666.3091812301</v>
      </c>
      <c r="L76" s="22">
        <f t="shared" si="19"/>
        <v>11165349.854045156</v>
      </c>
      <c r="M76" s="22">
        <f t="shared" si="19"/>
        <v>14900116.340496521</v>
      </c>
      <c r="N76" s="22">
        <f t="shared" si="19"/>
        <v>20716237.068789579</v>
      </c>
      <c r="O76" s="22">
        <f t="shared" si="19"/>
        <v>29046691.642004568</v>
      </c>
      <c r="P76" s="22">
        <f t="shared" si="19"/>
        <v>32877324.638951279</v>
      </c>
    </row>
    <row r="77" spans="1:16" s="22" customFormat="1" ht="10.5">
      <c r="A77" s="22" t="s">
        <v>39</v>
      </c>
      <c r="C77" s="22">
        <f>(B78*0.11*((1+C66)^0.75)*(1+D66)^0.25)</f>
        <v>257401.28617643425</v>
      </c>
      <c r="D77" s="22">
        <f t="shared" ref="D77:P77" si="20">(C78*0.11*((1+D66)^0.75)*(1+E66)^0.25)</f>
        <v>570957.71014367836</v>
      </c>
      <c r="E77" s="22">
        <f t="shared" si="20"/>
        <v>981518.74839524692</v>
      </c>
      <c r="F77" s="22">
        <f t="shared" si="20"/>
        <v>1808600.0379344397</v>
      </c>
      <c r="G77" s="22">
        <f t="shared" si="20"/>
        <v>2640574.4883110141</v>
      </c>
      <c r="H77" s="22">
        <f t="shared" si="20"/>
        <v>2871183.3182728617</v>
      </c>
      <c r="I77" s="22">
        <f t="shared" si="20"/>
        <v>3812533.8107018429</v>
      </c>
      <c r="J77" s="22">
        <f t="shared" si="20"/>
        <v>7113669.9517825246</v>
      </c>
      <c r="K77" s="22">
        <f t="shared" si="20"/>
        <v>8722763.3465992436</v>
      </c>
      <c r="L77" s="22">
        <f t="shared" si="20"/>
        <v>10659597.899097694</v>
      </c>
      <c r="M77" s="22">
        <f t="shared" si="20"/>
        <v>15618111.033624031</v>
      </c>
      <c r="N77" s="22">
        <f t="shared" si="20"/>
        <v>22315301.658218309</v>
      </c>
      <c r="O77" s="22">
        <f t="shared" si="20"/>
        <v>31128361.373007461</v>
      </c>
      <c r="P77" s="22">
        <f t="shared" si="20"/>
        <v>27329917.277224563</v>
      </c>
    </row>
    <row r="78" spans="1:16" s="24" customFormat="1" ht="10.5">
      <c r="A78" s="24" t="s">
        <v>2</v>
      </c>
      <c r="B78" s="24">
        <f>B71</f>
        <v>2223438</v>
      </c>
      <c r="C78" s="24">
        <f>SUM(C73:C77)+C71</f>
        <v>5562075.8008425795</v>
      </c>
      <c r="D78" s="24">
        <f t="shared" ref="D78:P78" si="21">SUM(D73:D77)+D71</f>
        <v>8771554.3372094892</v>
      </c>
      <c r="E78" s="24">
        <f t="shared" si="21"/>
        <v>14449661.463200271</v>
      </c>
      <c r="F78" s="24">
        <f t="shared" si="21"/>
        <v>21965134.763181657</v>
      </c>
      <c r="G78" s="24">
        <f t="shared" si="21"/>
        <v>31788871.741618443</v>
      </c>
      <c r="H78" s="24">
        <f t="shared" si="21"/>
        <v>40374082.827477872</v>
      </c>
      <c r="I78" s="24">
        <f t="shared" si="21"/>
        <v>47405493.168666571</v>
      </c>
      <c r="J78" s="24">
        <f t="shared" si="21"/>
        <v>67451938.769805133</v>
      </c>
      <c r="K78" s="24">
        <f t="shared" si="21"/>
        <v>93874462.363376617</v>
      </c>
      <c r="L78" s="24">
        <f t="shared" si="21"/>
        <v>123341611.63885091</v>
      </c>
      <c r="M78" s="24">
        <f t="shared" si="21"/>
        <v>166908629.54721057</v>
      </c>
      <c r="N78" s="24">
        <f t="shared" si="21"/>
        <v>228922123.67221928</v>
      </c>
      <c r="O78" s="24">
        <f>SUM(O73:O77)</f>
        <v>260068666.36222118</v>
      </c>
      <c r="P78" s="24">
        <f t="shared" si="21"/>
        <v>235211807.55007824</v>
      </c>
    </row>
    <row r="79" spans="1:16">
      <c r="N79" s="1"/>
    </row>
    <row r="81" spans="1:4">
      <c r="A81" s="1" t="s">
        <v>18</v>
      </c>
    </row>
    <row r="86" spans="1:4">
      <c r="A86" t="s">
        <v>22</v>
      </c>
      <c r="B86" s="12" t="s">
        <v>66</v>
      </c>
      <c r="C86" s="12" t="s">
        <v>68</v>
      </c>
      <c r="D86" s="12" t="s">
        <v>26</v>
      </c>
    </row>
    <row r="87" spans="1:4">
      <c r="A87" t="s">
        <v>138</v>
      </c>
      <c r="B87" s="12">
        <v>-2103965</v>
      </c>
      <c r="C87" s="12">
        <v>4207930</v>
      </c>
      <c r="D87" s="12">
        <v>2223438</v>
      </c>
    </row>
    <row r="88" spans="1:4">
      <c r="A88" t="s">
        <v>89</v>
      </c>
      <c r="B88" s="12">
        <v>-2768307</v>
      </c>
      <c r="C88" s="12">
        <v>5536614</v>
      </c>
      <c r="D88" s="12">
        <v>3150718</v>
      </c>
    </row>
    <row r="89" spans="1:4">
      <c r="A89" t="s">
        <v>90</v>
      </c>
      <c r="B89" s="12">
        <v>-3177752</v>
      </c>
      <c r="C89" s="12">
        <v>6355504</v>
      </c>
      <c r="D89" s="12">
        <v>3195133</v>
      </c>
    </row>
    <row r="90" spans="1:4">
      <c r="A90" t="s">
        <v>91</v>
      </c>
      <c r="B90" s="12">
        <v>-4259982</v>
      </c>
      <c r="C90" s="12">
        <v>8519964</v>
      </c>
      <c r="D90" s="12">
        <v>5132639</v>
      </c>
    </row>
    <row r="91" spans="1:4">
      <c r="A91" t="s">
        <v>93</v>
      </c>
      <c r="B91" s="12">
        <v>-4837575</v>
      </c>
      <c r="C91" s="12">
        <v>9675150</v>
      </c>
      <c r="D91" s="12">
        <v>5949406</v>
      </c>
    </row>
    <row r="92" spans="1:4">
      <c r="A92" t="s">
        <v>94</v>
      </c>
      <c r="B92" s="12">
        <v>-5896299</v>
      </c>
      <c r="C92" s="12">
        <v>11792598</v>
      </c>
      <c r="D92" s="12">
        <v>7293676</v>
      </c>
    </row>
    <row r="93" spans="1:4">
      <c r="A93" t="s">
        <v>95</v>
      </c>
      <c r="B93" s="12">
        <v>-7678922</v>
      </c>
      <c r="C93" s="12">
        <v>15357844</v>
      </c>
      <c r="D93" s="12">
        <v>9758954</v>
      </c>
    </row>
    <row r="94" spans="1:4">
      <c r="A94" t="s">
        <v>96</v>
      </c>
      <c r="B94" s="12">
        <v>-8925093</v>
      </c>
      <c r="C94" s="12">
        <v>17850186</v>
      </c>
      <c r="D94" s="12">
        <v>10160883</v>
      </c>
    </row>
    <row r="95" spans="1:4">
      <c r="A95" t="s">
        <v>97</v>
      </c>
      <c r="B95" s="12">
        <v>-10872186</v>
      </c>
      <c r="C95" s="12">
        <v>21744372</v>
      </c>
      <c r="D95" s="12">
        <v>12895705</v>
      </c>
    </row>
    <row r="96" spans="1:4">
      <c r="A96" t="s">
        <v>99</v>
      </c>
      <c r="B96" s="12">
        <v>-13614425</v>
      </c>
      <c r="C96" s="12">
        <v>27228850</v>
      </c>
      <c r="D96" s="12">
        <v>17730592</v>
      </c>
    </row>
    <row r="97" spans="1:4">
      <c r="A97" t="s">
        <v>101</v>
      </c>
      <c r="B97" s="12">
        <v>-15668164</v>
      </c>
      <c r="C97" s="12">
        <v>31336328</v>
      </c>
      <c r="D97" s="12">
        <v>19736892</v>
      </c>
    </row>
    <row r="98" spans="1:4">
      <c r="A98" t="s">
        <v>103</v>
      </c>
      <c r="B98" s="12">
        <v>-17574907</v>
      </c>
      <c r="C98" s="12">
        <v>35149814</v>
      </c>
      <c r="D98" s="12">
        <v>20870442</v>
      </c>
    </row>
    <row r="99" spans="1:4">
      <c r="A99" t="s">
        <v>104</v>
      </c>
      <c r="B99" s="12">
        <v>-20550472</v>
      </c>
      <c r="C99" s="12">
        <v>41100944</v>
      </c>
      <c r="D99" s="12">
        <v>24583429</v>
      </c>
    </row>
    <row r="100" spans="1:4">
      <c r="A100" t="s">
        <v>106</v>
      </c>
      <c r="B100" s="12">
        <v>-5093244</v>
      </c>
      <c r="C100" s="12">
        <v>10186488</v>
      </c>
      <c r="D100" s="12">
        <v>3350821</v>
      </c>
    </row>
  </sheetData>
  <phoneticPr fontId="2" type="noConversion"/>
  <pageMargins left="0.75196850393700787" right="0.75196850393700787" top="1" bottom="1" header="0.5" footer="0.5"/>
  <pageSetup paperSize="0" orientation="landscape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"/>
  <sheetViews>
    <sheetView view="pageLayout" workbookViewId="0">
      <selection activeCell="A3" sqref="A3"/>
    </sheetView>
  </sheetViews>
  <sheetFormatPr defaultColWidth="11" defaultRowHeight="12.75"/>
  <sheetData/>
  <phoneticPr fontId="2" type="noConversion"/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Public Accounts </vt:lpstr>
      <vt:lpstr>Yields</vt:lpstr>
      <vt:lpstr>Fund Returns '81-'10</vt:lpstr>
      <vt:lpstr>PA - check</vt:lpstr>
      <vt:lpstr>PA - tester</vt:lpstr>
      <vt:lpstr>Sheet7</vt:lpstr>
    </vt:vector>
  </TitlesOfParts>
  <Company>MUN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Coffin</dc:creator>
  <cp:lastModifiedBy>Compaq_Owner</cp:lastModifiedBy>
  <dcterms:created xsi:type="dcterms:W3CDTF">2011-08-12T00:16:41Z</dcterms:created>
  <dcterms:modified xsi:type="dcterms:W3CDTF">2011-09-02T13:51:46Z</dcterms:modified>
</cp:coreProperties>
</file>